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mortiz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<sst xmlns="http://schemas.openxmlformats.org/spreadsheetml/2006/main" count="9" uniqueCount="9">
  <si>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Loan amount</t>
  </si>
  <si>
    <t xml:space="preserve">Annual interest rate</t>
  </si>
  <si>
    <t xml:space="preserve">Loan term (years)</t>
  </si>
  <si>
    <t xml:space="preserve">Month</t>
  </si>
  <si>
    <t xml:space="preserve">Beginning balance</t>
  </si>
  <si>
    <t xml:space="preserve">Payment</t>
  </si>
  <si>
    <t xml:space="preserve">Interest</t>
  </si>
  <si>
    <t xml:space="preserve">Principal</t>
  </si>
  <si>
    <t xml:space="preserve">Ending balance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</si>
</sst>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0.00%"/>
    <numFmt numFmtId="167" formatCode="\$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BE4B48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7EB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Interest and principal paid each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Amortization!D5</c:f>
              <c:strCache>
                <c:ptCount val="1"/>
                <c:pt idx="0">
                  <c:v>Interest</c:v>
                </c:pt>
              </c:strCache>
            </c:strRef>
          </c:tx>
          <c:spPr>
            <a:solidFill>
              <a:srgbClr val="4A7EBB"/>
            </a:solidFill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Amortization!$A$6:$A$365</c:f>
              <c:strCach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strCache>
            </c:strRef>
          </c:cat>
          <c:val>
            <c:numRef>
              <c:f>Amortization!$D$6:$D$365</c:f>
              <c:numCache>
                <c:formatCode>\$#,##0.00</c:formatCode>
                <c:ptCount val="360"/>
                <c:pt idx="0">
                  <c:v>1500</c:v>
                </c:pt>
                <c:pt idx="1">
                  <c:v>1498.50674212271</c:v>
                </c:pt>
                <c:pt idx="2">
                  <c:v>1497.00601795603</c:v>
                </c:pt>
                <c:pt idx="3">
                  <c:v>1495.49779016852</c:v>
                </c:pt>
                <c:pt idx="4">
                  <c:v>1493.98202124207</c:v>
                </c:pt>
                <c:pt idx="5">
                  <c:v>1492.45867347099</c:v>
                </c:pt>
                <c:pt idx="6">
                  <c:v>1490.92770896105</c:v>
                </c:pt>
                <c:pt idx="7">
                  <c:v>1489.38908962857</c:v>
                </c:pt>
                <c:pt idx="8">
                  <c:v>1487.84277719942</c:v>
                </c:pt>
                <c:pt idx="9">
                  <c:v>1486.28873320813</c:v>
                </c:pt>
                <c:pt idx="10">
                  <c:v>1484.72691899688</c:v>
                </c:pt>
                <c:pt idx="11">
                  <c:v>1483.15729571457</c:v>
                </c:pt>
                <c:pt idx="12">
                  <c:v>1481.57982431585</c:v>
                </c:pt>
                <c:pt idx="13">
                  <c:v>1479.99446556014</c:v>
                </c:pt>
                <c:pt idx="14">
                  <c:v>1478.40118001065</c:v>
                </c:pt>
                <c:pt idx="15">
                  <c:v>1476.79992803341</c:v>
                </c:pt>
                <c:pt idx="16">
                  <c:v>1475.19066979628</c:v>
                </c:pt>
                <c:pt idx="17">
                  <c:v>1473.57336526798</c:v>
                </c:pt>
                <c:pt idx="18">
                  <c:v>1471.94797421702</c:v>
                </c:pt>
                <c:pt idx="19">
                  <c:v>1470.31445621082</c:v>
                </c:pt>
                <c:pt idx="20">
                  <c:v>1468.67277061458</c:v>
                </c:pt>
                <c:pt idx="21">
                  <c:v>1467.02287659036</c:v>
                </c:pt>
                <c:pt idx="22">
                  <c:v>1465.36473309602</c:v>
                </c:pt>
                <c:pt idx="23">
                  <c:v>1463.69829888421</c:v>
                </c:pt>
                <c:pt idx="24">
                  <c:v>1462.02353250134</c:v>
                </c:pt>
                <c:pt idx="25">
                  <c:v>1460.34039228656</c:v>
                </c:pt>
                <c:pt idx="26">
                  <c:v>1458.6488363707</c:v>
                </c:pt>
                <c:pt idx="27">
                  <c:v>1456.94882267526</c:v>
                </c:pt>
                <c:pt idx="28">
                  <c:v>1455.24030891135</c:v>
                </c:pt>
                <c:pt idx="29">
                  <c:v>1453.52325257861</c:v>
                </c:pt>
                <c:pt idx="30">
                  <c:v>1451.79761096421</c:v>
                </c:pt>
                <c:pt idx="31">
                  <c:v>1450.06334114174</c:v>
                </c:pt>
                <c:pt idx="32">
                  <c:v>1448.32039997016</c:v>
                </c:pt>
                <c:pt idx="33">
                  <c:v>1446.56874409272</c:v>
                </c:pt>
                <c:pt idx="34">
                  <c:v>1444.80832993589</c:v>
                </c:pt>
                <c:pt idx="35">
                  <c:v>1443.03911370828</c:v>
                </c:pt>
                <c:pt idx="36">
                  <c:v>1441.26105139953</c:v>
                </c:pt>
                <c:pt idx="37">
                  <c:v>1439.47409877924</c:v>
                </c:pt>
                <c:pt idx="38">
                  <c:v>1437.67821139584</c:v>
                </c:pt>
                <c:pt idx="39">
                  <c:v>1435.87334457553</c:v>
                </c:pt>
                <c:pt idx="40">
                  <c:v>1434.05945342112</c:v>
                </c:pt>
                <c:pt idx="41">
                  <c:v>1432.23649281093</c:v>
                </c:pt>
                <c:pt idx="42">
                  <c:v>1430.40441739769</c:v>
                </c:pt>
                <c:pt idx="43">
                  <c:v>1428.56318160739</c:v>
                </c:pt>
                <c:pt idx="44">
                  <c:v>1426.71273963814</c:v>
                </c:pt>
                <c:pt idx="45">
                  <c:v>1424.85304545904</c:v>
                </c:pt>
                <c:pt idx="46">
                  <c:v>1422.98405280904</c:v>
                </c:pt>
                <c:pt idx="47">
                  <c:v>1421.10571519579</c:v>
                </c:pt>
                <c:pt idx="48">
                  <c:v>1419.21798589448</c:v>
                </c:pt>
                <c:pt idx="49">
                  <c:v>1417.32081794666</c:v>
                </c:pt>
                <c:pt idx="50">
                  <c:v>1415.41416415911</c:v>
                </c:pt>
                <c:pt idx="51">
                  <c:v>1413.49797710261</c:v>
                </c:pt>
                <c:pt idx="52">
                  <c:v>1411.57220911083</c:v>
                </c:pt>
                <c:pt idx="53">
                  <c:v>1409.63681227909</c:v>
                </c:pt>
                <c:pt idx="54">
                  <c:v>1407.6917384632</c:v>
                </c:pt>
                <c:pt idx="55">
                  <c:v>1405.73693927822</c:v>
                </c:pt>
                <c:pt idx="56">
                  <c:v>1403.77236609732</c:v>
                </c:pt>
                <c:pt idx="57">
                  <c:v>1401.79797005052</c:v>
                </c:pt>
                <c:pt idx="58">
                  <c:v>1399.81370202348</c:v>
                </c:pt>
                <c:pt idx="59">
                  <c:v>1397.81951265631</c:v>
                </c:pt>
                <c:pt idx="60">
                  <c:v>1395.8153523423</c:v>
                </c:pt>
                <c:pt idx="61">
                  <c:v>1393.80117122672</c:v>
                </c:pt>
                <c:pt idx="62">
                  <c:v>1391.77691920556</c:v>
                </c:pt>
                <c:pt idx="63">
                  <c:v>1389.7425459243</c:v>
                </c:pt>
                <c:pt idx="64">
                  <c:v>1387.69800077663</c:v>
                </c:pt>
                <c:pt idx="65">
                  <c:v>1385.64323290322</c:v>
                </c:pt>
                <c:pt idx="66">
                  <c:v>1383.57819119044</c:v>
                </c:pt>
                <c:pt idx="67">
                  <c:v>1381.5028242691</c:v>
                </c:pt>
                <c:pt idx="68">
                  <c:v>1379.41708051316</c:v>
                </c:pt>
                <c:pt idx="69">
                  <c:v>1377.32090803843</c:v>
                </c:pt>
                <c:pt idx="70">
                  <c:v>1375.21425470133</c:v>
                </c:pt>
                <c:pt idx="71">
                  <c:v>1373.09706809755</c:v>
                </c:pt>
                <c:pt idx="72">
                  <c:v>1370.96929556074</c:v>
                </c:pt>
                <c:pt idx="73">
                  <c:v>1368.83088416126</c:v>
                </c:pt>
                <c:pt idx="74">
                  <c:v>1366.68178070477</c:v>
                </c:pt>
                <c:pt idx="75">
                  <c:v>1364.521931731</c:v>
                </c:pt>
                <c:pt idx="76">
                  <c:v>1362.35128351237</c:v>
                </c:pt>
                <c:pt idx="77">
                  <c:v>1360.16978205264</c:v>
                </c:pt>
                <c:pt idx="78">
                  <c:v>1357.97737308561</c:v>
                </c:pt>
                <c:pt idx="79">
                  <c:v>1355.77400207375</c:v>
                </c:pt>
                <c:pt idx="80">
                  <c:v>1353.55961420683</c:v>
                </c:pt>
                <c:pt idx="81">
                  <c:v>1351.33415440057</c:v>
                </c:pt>
                <c:pt idx="82">
                  <c:v>1349.09756729528</c:v>
                </c:pt>
                <c:pt idx="83">
                  <c:v>1346.84979725446</c:v>
                </c:pt>
                <c:pt idx="84">
                  <c:v>1344.59078836345</c:v>
                </c:pt>
                <c:pt idx="85">
                  <c:v>1342.32048442797</c:v>
                </c:pt>
                <c:pt idx="86">
                  <c:v>1340.03882897282</c:v>
                </c:pt>
                <c:pt idx="87">
                  <c:v>1337.74576524039</c:v>
                </c:pt>
                <c:pt idx="88">
                  <c:v>1335.4412361893</c:v>
                </c:pt>
                <c:pt idx="89">
                  <c:v>1333.12518449296</c:v>
                </c:pt>
                <c:pt idx="90">
                  <c:v>1330.79755253813</c:v>
                </c:pt>
                <c:pt idx="91">
                  <c:v>1328.45828242353</c:v>
                </c:pt>
                <c:pt idx="92">
                  <c:v>1326.10731595836</c:v>
                </c:pt>
                <c:pt idx="93">
                  <c:v>1323.74459466086</c:v>
                </c:pt>
                <c:pt idx="94">
                  <c:v>1321.37005975687</c:v>
                </c:pt>
                <c:pt idx="95">
                  <c:v>1318.98365217837</c:v>
                </c:pt>
                <c:pt idx="96">
                  <c:v>1316.58531256197</c:v>
                </c:pt>
                <c:pt idx="97">
                  <c:v>1314.17498124749</c:v>
                </c:pt>
                <c:pt idx="98">
                  <c:v>1311.75259827643</c:v>
                </c:pt>
                <c:pt idx="99">
                  <c:v>1309.31810339052</c:v>
                </c:pt>
                <c:pt idx="100">
                  <c:v>1306.87143603018</c:v>
                </c:pt>
                <c:pt idx="101">
                  <c:v>1304.41253533304</c:v>
                </c:pt>
                <c:pt idx="102">
                  <c:v>1301.94134013242</c:v>
                </c:pt>
                <c:pt idx="103">
                  <c:v>1299.45778895579</c:v>
                </c:pt>
                <c:pt idx="104">
                  <c:v>1296.96182002328</c:v>
                </c:pt>
                <c:pt idx="105">
                  <c:v>1294.4533712461</c:v>
                </c:pt>
                <c:pt idx="106">
                  <c:v>1291.93238022504</c:v>
                </c:pt>
                <c:pt idx="107">
                  <c:v>1289.39878424887</c:v>
                </c:pt>
                <c:pt idx="108">
                  <c:v>1286.85252029283</c:v>
                </c:pt>
                <c:pt idx="109">
                  <c:v>1284.293525017</c:v>
                </c:pt>
                <c:pt idx="110">
                  <c:v>1281.72173476479</c:v>
                </c:pt>
                <c:pt idx="111">
                  <c:v>1279.13708556133</c:v>
                </c:pt>
                <c:pt idx="112">
                  <c:v>1276.53951311184</c:v>
                </c:pt>
                <c:pt idx="113">
                  <c:v>1273.92895280011</c:v>
                </c:pt>
                <c:pt idx="114">
                  <c:v>1271.30533968682</c:v>
                </c:pt>
                <c:pt idx="115">
                  <c:v>1268.66860850796</c:v>
                </c:pt>
                <c:pt idx="116">
                  <c:v>1266.01869367321</c:v>
                </c:pt>
                <c:pt idx="117">
                  <c:v>1263.35552926429</c:v>
                </c:pt>
                <c:pt idx="118">
                  <c:v>1260.67904903332</c:v>
                </c:pt>
                <c:pt idx="119">
                  <c:v>1257.98918640119</c:v>
                </c:pt>
                <c:pt idx="120">
                  <c:v>1255.28587445591</c:v>
                </c:pt>
                <c:pt idx="121">
                  <c:v>1252.56904595089</c:v>
                </c:pt>
                <c:pt idx="122">
                  <c:v>1249.83863330336</c:v>
                </c:pt>
                <c:pt idx="123">
                  <c:v>1247.09456859258</c:v>
                </c:pt>
                <c:pt idx="124">
                  <c:v>1244.33678355825</c:v>
                </c:pt>
                <c:pt idx="125">
                  <c:v>1241.56520959875</c:v>
                </c:pt>
                <c:pt idx="126">
                  <c:v>1238.77977776946</c:v>
                </c:pt>
                <c:pt idx="127">
                  <c:v>1235.98041878101</c:v>
                </c:pt>
                <c:pt idx="128">
                  <c:v>1233.16706299763</c:v>
                </c:pt>
                <c:pt idx="129">
                  <c:v>1230.33964043532</c:v>
                </c:pt>
                <c:pt idx="130">
                  <c:v>1227.49808076021</c:v>
                </c:pt>
                <c:pt idx="131">
                  <c:v>1224.64231328672</c:v>
                </c:pt>
                <c:pt idx="132">
                  <c:v>1221.77226697586</c:v>
                </c:pt>
                <c:pt idx="133">
                  <c:v>1218.88787043345</c:v>
                </c:pt>
                <c:pt idx="134">
                  <c:v>1215.98905190833</c:v>
                </c:pt>
                <c:pt idx="135">
                  <c:v>1213.07573929058</c:v>
                </c:pt>
                <c:pt idx="136">
                  <c:v>1210.14786010974</c:v>
                </c:pt>
                <c:pt idx="137">
                  <c:v>1207.205341533</c:v>
                </c:pt>
                <c:pt idx="138">
                  <c:v>1204.24811036337</c:v>
                </c:pt>
                <c:pt idx="139">
                  <c:v>1201.27609303789</c:v>
                </c:pt>
                <c:pt idx="140">
                  <c:v>1198.28921562579</c:v>
                </c:pt>
                <c:pt idx="141">
                  <c:v>1195.28740382663</c:v>
                </c:pt>
                <c:pt idx="142">
                  <c:v>1192.27058296847</c:v>
                </c:pt>
                <c:pt idx="143">
                  <c:v>1189.23867800602</c:v>
                </c:pt>
                <c:pt idx="144">
                  <c:v>1186.19161351876</c:v>
                </c:pt>
                <c:pt idx="145">
                  <c:v>1183.12931370907</c:v>
                </c:pt>
                <c:pt idx="146">
                  <c:v>1180.05170240032</c:v>
                </c:pt>
                <c:pt idx="147">
                  <c:v>1176.95870303503</c:v>
                </c:pt>
                <c:pt idx="148">
                  <c:v>1173.85023867291</c:v>
                </c:pt>
                <c:pt idx="149">
                  <c:v>1170.72623198899</c:v>
                </c:pt>
                <c:pt idx="150">
                  <c:v>1167.58660527164</c:v>
                </c:pt>
                <c:pt idx="151">
                  <c:v>1164.43128042071</c:v>
                </c:pt>
                <c:pt idx="152">
                  <c:v>1161.26017894552</c:v>
                </c:pt>
                <c:pt idx="153">
                  <c:v>1158.07322196296</c:v>
                </c:pt>
                <c:pt idx="154">
                  <c:v>1154.87033019548</c:v>
                </c:pt>
                <c:pt idx="155">
                  <c:v>1151.65142396917</c:v>
                </c:pt>
                <c:pt idx="156">
                  <c:v>1148.41642321172</c:v>
                </c:pt>
                <c:pt idx="157">
                  <c:v>1145.16524745049</c:v>
                </c:pt>
                <c:pt idx="158">
                  <c:v>1141.89781581045</c:v>
                </c:pt>
                <c:pt idx="159">
                  <c:v>1138.61404701221</c:v>
                </c:pt>
                <c:pt idx="160">
                  <c:v>1135.31385936998</c:v>
                </c:pt>
                <c:pt idx="161">
                  <c:v>1131.99717078954</c:v>
                </c:pt>
                <c:pt idx="162">
                  <c:v>1128.6638987662</c:v>
                </c:pt>
                <c:pt idx="163">
                  <c:v>1125.31396038274</c:v>
                </c:pt>
                <c:pt idx="164">
                  <c:v>1121.94727230736</c:v>
                </c:pt>
                <c:pt idx="165">
                  <c:v>1118.5637507916</c:v>
                </c:pt>
                <c:pt idx="166">
                  <c:v>1115.16331166827</c:v>
                </c:pt>
                <c:pt idx="167">
                  <c:v>1111.74587034932</c:v>
                </c:pt>
                <c:pt idx="168">
                  <c:v>1108.31134182378</c:v>
                </c:pt>
                <c:pt idx="169">
                  <c:v>1104.8596406556</c:v>
                </c:pt>
                <c:pt idx="170">
                  <c:v>1101.39068098159</c:v>
                </c:pt>
                <c:pt idx="171">
                  <c:v>1097.90437650921</c:v>
                </c:pt>
                <c:pt idx="172">
                  <c:v>1094.40064051446</c:v>
                </c:pt>
                <c:pt idx="173">
                  <c:v>1090.87938583974</c:v>
                </c:pt>
                <c:pt idx="174">
                  <c:v>1087.34052489165</c:v>
                </c:pt>
                <c:pt idx="175">
                  <c:v>1083.78396963882</c:v>
                </c:pt>
                <c:pt idx="176">
                  <c:v>1080.20963160972</c:v>
                </c:pt>
                <c:pt idx="177">
                  <c:v>1076.61742189048</c:v>
                </c:pt>
                <c:pt idx="178">
                  <c:v>1073.00725112264</c:v>
                </c:pt>
                <c:pt idx="179">
                  <c:v>1069.37902950096</c:v>
                </c:pt>
                <c:pt idx="180">
                  <c:v>1065.73266677117</c:v>
                </c:pt>
                <c:pt idx="181">
                  <c:v>1062.06807222774</c:v>
                </c:pt>
                <c:pt idx="182">
                  <c:v>1058.38515471159</c:v>
                </c:pt>
                <c:pt idx="183">
                  <c:v>1054.68382260785</c:v>
                </c:pt>
                <c:pt idx="184">
                  <c:v>1050.9639838436</c:v>
                </c:pt>
                <c:pt idx="185">
                  <c:v>1047.22554588553</c:v>
                </c:pt>
                <c:pt idx="186">
                  <c:v>1043.46841573766</c:v>
                </c:pt>
                <c:pt idx="187">
                  <c:v>1039.69249993906</c:v>
                </c:pt>
                <c:pt idx="188">
                  <c:v>1035.89770456147</c:v>
                </c:pt>
                <c:pt idx="189">
                  <c:v>1032.08393520698</c:v>
                </c:pt>
                <c:pt idx="190">
                  <c:v>1028.25109700573</c:v>
                </c:pt>
                <c:pt idx="191">
                  <c:v>1024.39909461346</c:v>
                </c:pt>
                <c:pt idx="192">
                  <c:v>1020.52783220924</c:v>
                </c:pt>
                <c:pt idx="193">
                  <c:v>1016.63721349299</c:v>
                </c:pt>
                <c:pt idx="194">
                  <c:v>1012.72714168317</c:v>
                </c:pt>
                <c:pt idx="195">
                  <c:v>1008.79751951429</c:v>
                </c:pt>
                <c:pt idx="196">
                  <c:v>1004.84824923457</c:v>
                </c:pt>
                <c:pt idx="197">
                  <c:v>1000.87923260345</c:v>
                </c:pt>
                <c:pt idx="198">
                  <c:v>996.89037088918</c:v>
                </c:pt>
                <c:pt idx="199">
                  <c:v>992.881564866335</c:v>
                </c:pt>
                <c:pt idx="200">
                  <c:v>988.852714813376</c:v>
                </c:pt>
                <c:pt idx="201">
                  <c:v>984.803720510151</c:v>
                </c:pt>
                <c:pt idx="202">
                  <c:v>980.734481235411</c:v>
                </c:pt>
                <c:pt idx="203">
                  <c:v>976.644895764296</c:v>
                </c:pt>
                <c:pt idx="204">
                  <c:v>972.534862365827</c:v>
                </c:pt>
                <c:pt idx="205">
                  <c:v>968.404278800365</c:v>
                </c:pt>
                <c:pt idx="206">
                  <c:v>964.253042317076</c:v>
                </c:pt>
                <c:pt idx="207">
                  <c:v>960.081049651369</c:v>
                </c:pt>
                <c:pt idx="208">
                  <c:v>955.888197022335</c:v>
                </c:pt>
                <c:pt idx="209">
                  <c:v>951.674380130155</c:v>
                </c:pt>
                <c:pt idx="210">
                  <c:v>947.439494153515</c:v>
                </c:pt>
                <c:pt idx="211">
                  <c:v>943.183433746991</c:v>
                </c:pt>
                <c:pt idx="212">
                  <c:v>938.906093038436</c:v>
                </c:pt>
                <c:pt idx="213">
                  <c:v>934.607365626336</c:v>
                </c:pt>
                <c:pt idx="214">
                  <c:v>930.287144577177</c:v>
                </c:pt>
                <c:pt idx="215">
                  <c:v>925.945322422772</c:v>
                </c:pt>
                <c:pt idx="216">
                  <c:v>921.581791157594</c:v>
                </c:pt>
                <c:pt idx="217">
                  <c:v>917.196442236091</c:v>
                </c:pt>
                <c:pt idx="218">
                  <c:v>912.78916656998</c:v>
                </c:pt>
                <c:pt idx="219">
                  <c:v>908.359854525539</c:v>
                </c:pt>
                <c:pt idx="220">
                  <c:v>903.908395920876</c:v>
                </c:pt>
                <c:pt idx="221">
                  <c:v>899.434680023188</c:v>
                </c:pt>
                <c:pt idx="222">
                  <c:v>894.938595546013</c:v>
                </c:pt>
                <c:pt idx="223">
                  <c:v>890.420030646453</c:v>
                </c:pt>
                <c:pt idx="224">
                  <c:v>885.878872922393</c:v>
                </c:pt>
                <c:pt idx="225">
                  <c:v>881.315009409714</c:v>
                </c:pt>
                <c:pt idx="226">
                  <c:v>876.728326579471</c:v>
                </c:pt>
                <c:pt idx="227">
                  <c:v>872.118710335078</c:v>
                </c:pt>
                <c:pt idx="228">
                  <c:v>867.486046009462</c:v>
                </c:pt>
                <c:pt idx="229">
                  <c:v>862.830218362218</c:v>
                </c:pt>
                <c:pt idx="230">
                  <c:v>858.151111576738</c:v>
                </c:pt>
                <c:pt idx="231">
                  <c:v>853.44860925733</c:v>
                </c:pt>
                <c:pt idx="232">
                  <c:v>848.722594426325</c:v>
                </c:pt>
                <c:pt idx="233">
                  <c:v>843.972949521167</c:v>
                </c:pt>
                <c:pt idx="234">
                  <c:v>839.199556391481</c:v>
                </c:pt>
                <c:pt idx="235">
                  <c:v>834.402296296148</c:v>
                </c:pt>
                <c:pt idx="236">
                  <c:v>829.581049900337</c:v>
                </c:pt>
                <c:pt idx="237">
                  <c:v>824.735697272547</c:v>
                </c:pt>
                <c:pt idx="238">
                  <c:v>819.866117881619</c:v>
                </c:pt>
                <c:pt idx="239">
                  <c:v>814.972190593736</c:v>
                </c:pt>
                <c:pt idx="240">
                  <c:v>810.053793669413</c:v>
                </c:pt>
                <c:pt idx="241">
                  <c:v>805.110804760469</c:v>
                </c:pt>
                <c:pt idx="242">
                  <c:v>800.14310090698</c:v>
                </c:pt>
                <c:pt idx="243">
                  <c:v>795.150558534224</c:v>
                </c:pt>
                <c:pt idx="244">
                  <c:v>790.133053449604</c:v>
                </c:pt>
                <c:pt idx="245">
                  <c:v>785.09046083956</c:v>
                </c:pt>
                <c:pt idx="246">
                  <c:v>780.022655266467</c:v>
                </c:pt>
                <c:pt idx="247">
                  <c:v>774.929510665509</c:v>
                </c:pt>
                <c:pt idx="248">
                  <c:v>769.810900341545</c:v>
                </c:pt>
                <c:pt idx="249">
                  <c:v>764.666696965961</c:v>
                </c:pt>
                <c:pt idx="250">
                  <c:v>759.4967725735</c:v>
                </c:pt>
                <c:pt idx="251">
                  <c:v>754.300998559076</c:v>
                </c:pt>
                <c:pt idx="252">
                  <c:v>749.079245674581</c:v>
                </c:pt>
                <c:pt idx="253">
                  <c:v>743.831384025662</c:v>
                </c:pt>
                <c:pt idx="254">
                  <c:v>738.5572830685</c:v>
                </c:pt>
                <c:pt idx="255">
                  <c:v>733.256811606551</c:v>
                </c:pt>
                <c:pt idx="256">
                  <c:v>727.929837787292</c:v>
                </c:pt>
                <c:pt idx="257">
                  <c:v>722.576229098938</c:v>
                </c:pt>
                <c:pt idx="258">
                  <c:v>717.195852367142</c:v>
                </c:pt>
                <c:pt idx="259">
                  <c:v>711.788573751686</c:v>
                </c:pt>
                <c:pt idx="260">
                  <c:v>706.354258743153</c:v>
                </c:pt>
                <c:pt idx="261">
                  <c:v>700.892772159578</c:v>
                </c:pt>
                <c:pt idx="262">
                  <c:v>695.403978143084</c:v>
                </c:pt>
                <c:pt idx="263">
                  <c:v>689.887740156508</c:v>
                </c:pt>
                <c:pt idx="264">
                  <c:v>684.34392098</c:v>
                </c:pt>
                <c:pt idx="265">
                  <c:v>678.772382707609</c:v>
                </c:pt>
                <c:pt idx="266">
                  <c:v>673.172986743855</c:v>
                </c:pt>
                <c:pt idx="267">
                  <c:v>667.545593800284</c:v>
                </c:pt>
                <c:pt idx="268">
                  <c:v>661.890063891994</c:v>
                </c:pt>
                <c:pt idx="269">
                  <c:v>656.206256334162</c:v>
                </c:pt>
                <c:pt idx="270">
                  <c:v>650.494029738543</c:v>
                </c:pt>
                <c:pt idx="271">
                  <c:v>644.753242009943</c:v>
                </c:pt>
                <c:pt idx="272">
                  <c:v>638.983750342702</c:v>
                </c:pt>
                <c:pt idx="273">
                  <c:v>633.185411217125</c:v>
                </c:pt>
                <c:pt idx="274">
                  <c:v>627.358080395919</c:v>
                </c:pt>
                <c:pt idx="275">
                  <c:v>621.501612920608</c:v>
                </c:pt>
                <c:pt idx="276">
                  <c:v>615.615863107921</c:v>
                </c:pt>
                <c:pt idx="277">
                  <c:v>609.700684546168</c:v>
                </c:pt>
                <c:pt idx="278">
                  <c:v>603.755930091607</c:v>
                </c:pt>
                <c:pt idx="279">
                  <c:v>597.781451864775</c:v>
                </c:pt>
                <c:pt idx="280">
                  <c:v>591.777101246807</c:v>
                </c:pt>
                <c:pt idx="281">
                  <c:v>585.742728875751</c:v>
                </c:pt>
                <c:pt idx="282">
                  <c:v>579.678184642838</c:v>
                </c:pt>
                <c:pt idx="283">
                  <c:v>573.583317688761</c:v>
                </c:pt>
                <c:pt idx="284">
                  <c:v>567.457976399913</c:v>
                </c:pt>
                <c:pt idx="285">
                  <c:v>561.302008404622</c:v>
                </c:pt>
                <c:pt idx="286">
                  <c:v>555.115260569354</c:v>
                </c:pt>
                <c:pt idx="287">
                  <c:v>548.89757899491</c:v>
                </c:pt>
                <c:pt idx="288">
                  <c:v>542.648809012593</c:v>
                </c:pt>
                <c:pt idx="289">
                  <c:v>536.368795180365</c:v>
                </c:pt>
                <c:pt idx="290">
                  <c:v>530.057381278976</c:v>
                </c:pt>
                <c:pt idx="291">
                  <c:v>523.714410308079</c:v>
                </c:pt>
                <c:pt idx="292">
                  <c:v>517.339724482328</c:v>
                </c:pt>
                <c:pt idx="293">
                  <c:v>510.933165227449</c:v>
                </c:pt>
                <c:pt idx="294">
                  <c:v>504.494573176295</c:v>
                </c:pt>
                <c:pt idx="295">
                  <c:v>498.023788164885</c:v>
                </c:pt>
                <c:pt idx="296">
                  <c:v>491.520649228419</c:v>
                </c:pt>
                <c:pt idx="297">
                  <c:v>484.984994597269</c:v>
                </c:pt>
                <c:pt idx="298">
                  <c:v>478.416661692965</c:v>
                </c:pt>
                <c:pt idx="299">
                  <c:v>471.815487124139</c:v>
                </c:pt>
                <c:pt idx="300">
                  <c:v>465.181306682468</c:v>
                </c:pt>
                <c:pt idx="301">
                  <c:v>458.51395533859</c:v>
                </c:pt>
                <c:pt idx="302">
                  <c:v>451.813267237991</c:v>
                </c:pt>
                <c:pt idx="303">
                  <c:v>445.079075696891</c:v>
                </c:pt>
                <c:pt idx="304">
                  <c:v>438.311213198084</c:v>
                </c:pt>
                <c:pt idx="305">
                  <c:v>431.509511386782</c:v>
                </c:pt>
                <c:pt idx="306">
                  <c:v>424.673801066425</c:v>
                </c:pt>
                <c:pt idx="307">
                  <c:v>417.803912194466</c:v>
                </c:pt>
                <c:pt idx="308">
                  <c:v>410.899673878147</c:v>
                </c:pt>
                <c:pt idx="309">
                  <c:v>403.960914370247</c:v>
                </c:pt>
                <c:pt idx="310">
                  <c:v>396.987461064807</c:v>
                </c:pt>
                <c:pt idx="311">
                  <c:v>389.97914049284</c:v>
                </c:pt>
                <c:pt idx="312">
                  <c:v>382.935778318013</c:v>
                </c:pt>
                <c:pt idx="313">
                  <c:v>375.857199332312</c:v>
                </c:pt>
                <c:pt idx="314">
                  <c:v>368.743227451682</c:v>
                </c:pt>
                <c:pt idx="315">
                  <c:v>361.593685711648</c:v>
                </c:pt>
                <c:pt idx="316">
                  <c:v>354.408396262917</c:v>
                </c:pt>
                <c:pt idx="317">
                  <c:v>347.18718036694</c:v>
                </c:pt>
                <c:pt idx="318">
                  <c:v>339.929858391484</c:v>
                </c:pt>
                <c:pt idx="319">
                  <c:v>332.63624980615</c:v>
                </c:pt>
                <c:pt idx="320">
                  <c:v>325.306173177889</c:v>
                </c:pt>
                <c:pt idx="321">
                  <c:v>317.939446166488</c:v>
                </c:pt>
                <c:pt idx="322">
                  <c:v>310.535885520029</c:v>
                </c:pt>
                <c:pt idx="323">
                  <c:v>303.095307070338</c:v>
                </c:pt>
                <c:pt idx="324">
                  <c:v>295.617525728398</c:v>
                </c:pt>
                <c:pt idx="325">
                  <c:v>288.10235547975</c:v>
                </c:pt>
                <c:pt idx="326">
                  <c:v>280.549609379858</c:v>
                </c:pt>
                <c:pt idx="327">
                  <c:v>272.959099549465</c:v>
                </c:pt>
                <c:pt idx="328">
                  <c:v>265.330637169921</c:v>
                </c:pt>
                <c:pt idx="329">
                  <c:v>257.66403247848</c:v>
                </c:pt>
                <c:pt idx="330">
                  <c:v>249.959094763581</c:v>
                </c:pt>
                <c:pt idx="331">
                  <c:v>242.215632360108</c:v>
                </c:pt>
                <c:pt idx="332">
                  <c:v>234.433452644617</c:v>
                </c:pt>
                <c:pt idx="333">
                  <c:v>226.612362030549</c:v>
                </c:pt>
                <c:pt idx="334">
                  <c:v>218.752165963411</c:v>
                </c:pt>
                <c:pt idx="335">
                  <c:v>210.852668915936</c:v>
                </c:pt>
                <c:pt idx="336">
                  <c:v>202.913674383225</c:v>
                </c:pt>
                <c:pt idx="337">
                  <c:v>194.934984877851</c:v>
                </c:pt>
                <c:pt idx="338">
                  <c:v>186.916401924949</c:v>
                </c:pt>
                <c:pt idx="339">
                  <c:v>178.857726057282</c:v>
                </c:pt>
                <c:pt idx="340">
                  <c:v>170.758756810278</c:v>
                </c:pt>
                <c:pt idx="341">
                  <c:v>162.619292717038</c:v>
                </c:pt>
                <c:pt idx="342">
                  <c:v>154.439131303332</c:v>
                </c:pt>
                <c:pt idx="343">
                  <c:v>146.218069082558</c:v>
                </c:pt>
                <c:pt idx="344">
                  <c:v>137.95590155068</c:v>
                </c:pt>
                <c:pt idx="345">
                  <c:v>129.652423181142</c:v>
                </c:pt>
                <c:pt idx="346">
                  <c:v>121.307427419756</c:v>
                </c:pt>
                <c:pt idx="347">
                  <c:v>112.920706679563</c:v>
                </c:pt>
                <c:pt idx="348">
                  <c:v>104.49205233567</c:v>
                </c:pt>
                <c:pt idx="349">
                  <c:v>96.0212547200576</c:v>
                </c:pt>
                <c:pt idx="350">
                  <c:v>87.5081031163664</c:v>
                </c:pt>
                <c:pt idx="351">
                  <c:v>78.952385754657</c:v>
                </c:pt>
                <c:pt idx="352">
                  <c:v>70.3538898061405</c:v>
                </c:pt>
                <c:pt idx="353">
                  <c:v>61.7124013778785</c:v>
                </c:pt>
                <c:pt idx="354">
                  <c:v>53.0277055074777</c:v>
                </c:pt>
                <c:pt idx="355">
                  <c:v>44.2995861577244</c:v>
                </c:pt>
                <c:pt idx="356">
                  <c:v>35.5278262112221</c:v>
                </c:pt>
                <c:pt idx="357">
                  <c:v>26.712207464986</c:v>
                </c:pt>
                <c:pt idx="358">
                  <c:v>17.8525106250206</c:v>
                </c:pt>
                <c:pt idx="359">
                  <c:v>8.94851530085477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Amortization!E5</c:f>
              <c:strCache>
                <c:ptCount val="1"/>
                <c:pt idx="0">
                  <c:v>Principal</c:v>
                </c:pt>
              </c:strCache>
            </c:strRef>
          </c:tx>
          <c:spPr>
            <a:solidFill>
              <a:srgbClr val="BE4B48"/>
            </a:solidFill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Amortization!$A$6:$A$365</c:f>
              <c:strCach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strCache>
            </c:strRef>
          </c:cat>
          <c:val>
            <c:numRef>
              <c:f>Amortization!$E$6:$E$365</c:f>
              <c:numCache>
                <c:formatCode>\$#,##0.00</c:formatCode>
                <c:ptCount val="360"/>
                <c:pt idx="0">
                  <c:v>298.651575458257</c:v>
                </c:pt>
                <c:pt idx="1">
                  <c:v>300.144833335549</c:v>
                </c:pt>
                <c:pt idx="2">
                  <c:v>301.645557502226</c:v>
                </c:pt>
                <c:pt idx="3">
                  <c:v>303.153785289737</c:v>
                </c:pt>
                <c:pt idx="4">
                  <c:v>304.669554216186</c:v>
                </c:pt>
                <c:pt idx="5">
                  <c:v>306.192901987267</c:v>
                </c:pt>
                <c:pt idx="6">
                  <c:v>307.723866497203</c:v>
                </c:pt>
                <c:pt idx="7">
                  <c:v>309.262485829689</c:v>
                </c:pt>
                <c:pt idx="8">
                  <c:v>310.808798258838</c:v>
                </c:pt>
                <c:pt idx="9">
                  <c:v>312.362842250132</c:v>
                </c:pt>
                <c:pt idx="10">
                  <c:v>313.924656461383</c:v>
                </c:pt>
                <c:pt idx="11">
                  <c:v>315.49427974369</c:v>
                </c:pt>
                <c:pt idx="12">
                  <c:v>317.071751142408</c:v>
                </c:pt>
                <c:pt idx="13">
                  <c:v>318.65710989812</c:v>
                </c:pt>
                <c:pt idx="14">
                  <c:v>320.25039544761</c:v>
                </c:pt>
                <c:pt idx="15">
                  <c:v>321.851647424848</c:v>
                </c:pt>
                <c:pt idx="16">
                  <c:v>323.460905661973</c:v>
                </c:pt>
                <c:pt idx="17">
                  <c:v>325.078210190282</c:v>
                </c:pt>
                <c:pt idx="18">
                  <c:v>326.703601241234</c:v>
                </c:pt>
                <c:pt idx="19">
                  <c:v>328.33711924744</c:v>
                </c:pt>
                <c:pt idx="20">
                  <c:v>329.978804843677</c:v>
                </c:pt>
                <c:pt idx="21">
                  <c:v>331.628698867895</c:v>
                </c:pt>
                <c:pt idx="22">
                  <c:v>333.286842362235</c:v>
                </c:pt>
                <c:pt idx="23">
                  <c:v>334.953276574046</c:v>
                </c:pt>
                <c:pt idx="24">
                  <c:v>336.628042956916</c:v>
                </c:pt>
                <c:pt idx="25">
                  <c:v>338.311183171701</c:v>
                </c:pt>
                <c:pt idx="26">
                  <c:v>340.002739087559</c:v>
                </c:pt>
                <c:pt idx="27">
                  <c:v>341.702752782997</c:v>
                </c:pt>
                <c:pt idx="28">
                  <c:v>343.411266546912</c:v>
                </c:pt>
                <c:pt idx="29">
                  <c:v>345.128322879647</c:v>
                </c:pt>
                <c:pt idx="30">
                  <c:v>346.853964494045</c:v>
                </c:pt>
                <c:pt idx="31">
                  <c:v>348.588234316515</c:v>
                </c:pt>
                <c:pt idx="32">
                  <c:v>350.331175488097</c:v>
                </c:pt>
                <c:pt idx="33">
                  <c:v>352.082831365538</c:v>
                </c:pt>
                <c:pt idx="34">
                  <c:v>353.843245522365</c:v>
                </c:pt>
                <c:pt idx="35">
                  <c:v>355.612461749977</c:v>
                </c:pt>
                <c:pt idx="36">
                  <c:v>357.390524058727</c:v>
                </c:pt>
                <c:pt idx="37">
                  <c:v>359.177476679021</c:v>
                </c:pt>
                <c:pt idx="38">
                  <c:v>360.973364062416</c:v>
                </c:pt>
                <c:pt idx="39">
                  <c:v>362.778230882728</c:v>
                </c:pt>
                <c:pt idx="40">
                  <c:v>364.592122037141</c:v>
                </c:pt>
                <c:pt idx="41">
                  <c:v>366.415082647327</c:v>
                </c:pt>
                <c:pt idx="42">
                  <c:v>368.247158060564</c:v>
                </c:pt>
                <c:pt idx="43">
                  <c:v>370.088393850867</c:v>
                </c:pt>
                <c:pt idx="44">
                  <c:v>371.938835820121</c:v>
                </c:pt>
                <c:pt idx="45">
                  <c:v>373.798529999221</c:v>
                </c:pt>
                <c:pt idx="46">
                  <c:v>375.667522649217</c:v>
                </c:pt>
                <c:pt idx="47">
                  <c:v>377.545860262464</c:v>
                </c:pt>
                <c:pt idx="48">
                  <c:v>379.433589563776</c:v>
                </c:pt>
                <c:pt idx="49">
                  <c:v>381.330757511595</c:v>
                </c:pt>
                <c:pt idx="50">
                  <c:v>383.237411299152</c:v>
                </c:pt>
                <c:pt idx="51">
                  <c:v>385.153598355648</c:v>
                </c:pt>
                <c:pt idx="52">
                  <c:v>387.079366347426</c:v>
                </c:pt>
                <c:pt idx="53">
                  <c:v>389.014763179163</c:v>
                </c:pt>
                <c:pt idx="54">
                  <c:v>390.959836995059</c:v>
                </c:pt>
                <c:pt idx="55">
                  <c:v>392.914636180034</c:v>
                </c:pt>
                <c:pt idx="56">
                  <c:v>394.879209360935</c:v>
                </c:pt>
                <c:pt idx="57">
                  <c:v>396.853605407739</c:v>
                </c:pt>
                <c:pt idx="58">
                  <c:v>398.837873434778</c:v>
                </c:pt>
                <c:pt idx="59">
                  <c:v>400.832062801952</c:v>
                </c:pt>
                <c:pt idx="60">
                  <c:v>402.836223115962</c:v>
                </c:pt>
                <c:pt idx="61">
                  <c:v>404.850404231541</c:v>
                </c:pt>
                <c:pt idx="62">
                  <c:v>406.874656252699</c:v>
                </c:pt>
                <c:pt idx="63">
                  <c:v>408.909029533962</c:v>
                </c:pt>
                <c:pt idx="64">
                  <c:v>410.953574681632</c:v>
                </c:pt>
                <c:pt idx="65">
                  <c:v>413.00834255504</c:v>
                </c:pt>
                <c:pt idx="66">
                  <c:v>415.073384267815</c:v>
                </c:pt>
                <c:pt idx="67">
                  <c:v>417.148751189154</c:v>
                </c:pt>
                <c:pt idx="68">
                  <c:v>419.2344949451</c:v>
                </c:pt>
                <c:pt idx="69">
                  <c:v>421.330667419826</c:v>
                </c:pt>
                <c:pt idx="70">
                  <c:v>423.437320756925</c:v>
                </c:pt>
                <c:pt idx="71">
                  <c:v>425.554507360709</c:v>
                </c:pt>
                <c:pt idx="72">
                  <c:v>427.682279897513</c:v>
                </c:pt>
                <c:pt idx="73">
                  <c:v>429.820691297</c:v>
                </c:pt>
                <c:pt idx="74">
                  <c:v>431.969794753485</c:v>
                </c:pt>
                <c:pt idx="75">
                  <c:v>434.129643727253</c:v>
                </c:pt>
                <c:pt idx="76">
                  <c:v>436.300291945889</c:v>
                </c:pt>
                <c:pt idx="77">
                  <c:v>438.481793405618</c:v>
                </c:pt>
                <c:pt idx="78">
                  <c:v>440.674202372646</c:v>
                </c:pt>
                <c:pt idx="79">
                  <c:v>442.877573384509</c:v>
                </c:pt>
                <c:pt idx="80">
                  <c:v>445.091961251432</c:v>
                </c:pt>
                <c:pt idx="81">
                  <c:v>447.317421057689</c:v>
                </c:pt>
                <c:pt idx="82">
                  <c:v>449.554008162977</c:v>
                </c:pt>
                <c:pt idx="83">
                  <c:v>451.801778203793</c:v>
                </c:pt>
                <c:pt idx="84">
                  <c:v>454.060787094811</c:v>
                </c:pt>
                <c:pt idx="85">
                  <c:v>456.331091030285</c:v>
                </c:pt>
                <c:pt idx="86">
                  <c:v>458.612746485437</c:v>
                </c:pt>
                <c:pt idx="87">
                  <c:v>460.905810217864</c:v>
                </c:pt>
                <c:pt idx="88">
                  <c:v>463.210339268953</c:v>
                </c:pt>
                <c:pt idx="89">
                  <c:v>465.526390965298</c:v>
                </c:pt>
                <c:pt idx="90">
                  <c:v>467.854022920124</c:v>
                </c:pt>
                <c:pt idx="91">
                  <c:v>470.193293034725</c:v>
                </c:pt>
                <c:pt idx="92">
                  <c:v>472.544259499898</c:v>
                </c:pt>
                <c:pt idx="93">
                  <c:v>474.906980797398</c:v>
                </c:pt>
                <c:pt idx="94">
                  <c:v>477.281515701385</c:v>
                </c:pt>
                <c:pt idx="95">
                  <c:v>479.667923279892</c:v>
                </c:pt>
                <c:pt idx="96">
                  <c:v>482.066262896291</c:v>
                </c:pt>
                <c:pt idx="97">
                  <c:v>484.476594210772</c:v>
                </c:pt>
                <c:pt idx="98">
                  <c:v>486.898977181826</c:v>
                </c:pt>
                <c:pt idx="99">
                  <c:v>489.333472067735</c:v>
                </c:pt>
                <c:pt idx="100">
                  <c:v>491.780139428074</c:v>
                </c:pt>
                <c:pt idx="101">
                  <c:v>494.239040125214</c:v>
                </c:pt>
                <c:pt idx="102">
                  <c:v>496.71023532584</c:v>
                </c:pt>
                <c:pt idx="103">
                  <c:v>499.19378650247</c:v>
                </c:pt>
                <c:pt idx="104">
                  <c:v>501.689755434982</c:v>
                </c:pt>
                <c:pt idx="105">
                  <c:v>504.198204212157</c:v>
                </c:pt>
                <c:pt idx="106">
                  <c:v>506.719195233217</c:v>
                </c:pt>
                <c:pt idx="107">
                  <c:v>509.252791209383</c:v>
                </c:pt>
                <c:pt idx="108">
                  <c:v>511.79905516543</c:v>
                </c:pt>
                <c:pt idx="109">
                  <c:v>514.358050441257</c:v>
                </c:pt>
                <c:pt idx="110">
                  <c:v>516.929840693463</c:v>
                </c:pt>
                <c:pt idx="111">
                  <c:v>519.514489896931</c:v>
                </c:pt>
                <c:pt idx="112">
                  <c:v>522.112062346415</c:v>
                </c:pt>
                <c:pt idx="113">
                  <c:v>524.722622658147</c:v>
                </c:pt>
                <c:pt idx="114">
                  <c:v>527.346235771438</c:v>
                </c:pt>
                <c:pt idx="115">
                  <c:v>529.982966950295</c:v>
                </c:pt>
                <c:pt idx="116">
                  <c:v>532.632881785047</c:v>
                </c:pt>
                <c:pt idx="117">
                  <c:v>535.296046193972</c:v>
                </c:pt>
                <c:pt idx="118">
                  <c:v>537.972526424941</c:v>
                </c:pt>
                <c:pt idx="119">
                  <c:v>540.662389057066</c:v>
                </c:pt>
                <c:pt idx="120">
                  <c:v>543.365701002351</c:v>
                </c:pt>
                <c:pt idx="121">
                  <c:v>546.082529507363</c:v>
                </c:pt>
                <c:pt idx="122">
                  <c:v>548.8129421549</c:v>
                </c:pt>
                <c:pt idx="123">
                  <c:v>551.557006865674</c:v>
                </c:pt>
                <c:pt idx="124">
                  <c:v>554.314791900003</c:v>
                </c:pt>
                <c:pt idx="125">
                  <c:v>557.086365859503</c:v>
                </c:pt>
                <c:pt idx="126">
                  <c:v>559.8717976888</c:v>
                </c:pt>
                <c:pt idx="127">
                  <c:v>562.671156677244</c:v>
                </c:pt>
                <c:pt idx="128">
                  <c:v>565.48451246063</c:v>
                </c:pt>
                <c:pt idx="129">
                  <c:v>568.311935022933</c:v>
                </c:pt>
                <c:pt idx="130">
                  <c:v>571.153494698048</c:v>
                </c:pt>
                <c:pt idx="131">
                  <c:v>574.009262171538</c:v>
                </c:pt>
                <c:pt idx="132">
                  <c:v>576.879308482396</c:v>
                </c:pt>
                <c:pt idx="133">
                  <c:v>579.763705024808</c:v>
                </c:pt>
                <c:pt idx="134">
                  <c:v>582.662523549932</c:v>
                </c:pt>
                <c:pt idx="135">
                  <c:v>585.575836167681</c:v>
                </c:pt>
                <c:pt idx="136">
                  <c:v>588.503715348519</c:v>
                </c:pt>
                <c:pt idx="137">
                  <c:v>591.446233925262</c:v>
                </c:pt>
                <c:pt idx="138">
                  <c:v>594.403465094888</c:v>
                </c:pt>
                <c:pt idx="139">
                  <c:v>597.375482420363</c:v>
                </c:pt>
                <c:pt idx="140">
                  <c:v>600.362359832465</c:v>
                </c:pt>
                <c:pt idx="141">
                  <c:v>603.364171631627</c:v>
                </c:pt>
                <c:pt idx="142">
                  <c:v>606.380992489785</c:v>
                </c:pt>
                <c:pt idx="143">
                  <c:v>609.412897452234</c:v>
                </c:pt>
                <c:pt idx="144">
                  <c:v>612.459961939494</c:v>
                </c:pt>
                <c:pt idx="145">
                  <c:v>615.522261749192</c:v>
                </c:pt>
                <c:pt idx="146">
                  <c:v>618.599873057938</c:v>
                </c:pt>
                <c:pt idx="147">
                  <c:v>621.692872423228</c:v>
                </c:pt>
                <c:pt idx="148">
                  <c:v>624.801336785344</c:v>
                </c:pt>
                <c:pt idx="149">
                  <c:v>627.92534346927</c:v>
                </c:pt>
                <c:pt idx="150">
                  <c:v>631.064970186617</c:v>
                </c:pt>
                <c:pt idx="151">
                  <c:v>634.22029503755</c:v>
                </c:pt>
                <c:pt idx="152">
                  <c:v>637.391396512737</c:v>
                </c:pt>
                <c:pt idx="153">
                  <c:v>640.578353495301</c:v>
                </c:pt>
                <c:pt idx="154">
                  <c:v>643.781245262777</c:v>
                </c:pt>
                <c:pt idx="155">
                  <c:v>647.000151489091</c:v>
                </c:pt>
                <c:pt idx="156">
                  <c:v>650.235152246537</c:v>
                </c:pt>
                <c:pt idx="157">
                  <c:v>653.486328007769</c:v>
                </c:pt>
                <c:pt idx="158">
                  <c:v>656.753759647808</c:v>
                </c:pt>
                <c:pt idx="159">
                  <c:v>660.037528446047</c:v>
                </c:pt>
                <c:pt idx="160">
                  <c:v>663.337716088277</c:v>
                </c:pt>
                <c:pt idx="161">
                  <c:v>666.654404668719</c:v>
                </c:pt>
                <c:pt idx="162">
                  <c:v>669.987676692062</c:v>
                </c:pt>
                <c:pt idx="163">
                  <c:v>673.337615075522</c:v>
                </c:pt>
                <c:pt idx="164">
                  <c:v>676.7043031509</c:v>
                </c:pt>
                <c:pt idx="165">
                  <c:v>680.087824666654</c:v>
                </c:pt>
                <c:pt idx="166">
                  <c:v>683.488263789987</c:v>
                </c:pt>
                <c:pt idx="167">
                  <c:v>686.905705108938</c:v>
                </c:pt>
                <c:pt idx="168">
                  <c:v>690.340233634482</c:v>
                </c:pt>
                <c:pt idx="169">
                  <c:v>693.791934802654</c:v>
                </c:pt>
                <c:pt idx="170">
                  <c:v>697.260894476667</c:v>
                </c:pt>
                <c:pt idx="171">
                  <c:v>700.747198949051</c:v>
                </c:pt>
                <c:pt idx="172">
                  <c:v>704.250934943796</c:v>
                </c:pt>
                <c:pt idx="173">
                  <c:v>707.772189618515</c:v>
                </c:pt>
                <c:pt idx="174">
                  <c:v>711.311050566608</c:v>
                </c:pt>
                <c:pt idx="175">
                  <c:v>714.86760581944</c:v>
                </c:pt>
                <c:pt idx="176">
                  <c:v>718.441943848537</c:v>
                </c:pt>
                <c:pt idx="177">
                  <c:v>722.03415356778</c:v>
                </c:pt>
                <c:pt idx="178">
                  <c:v>725.644324335619</c:v>
                </c:pt>
                <c:pt idx="179">
                  <c:v>729.272545957297</c:v>
                </c:pt>
                <c:pt idx="180">
                  <c:v>732.918908687083</c:v>
                </c:pt>
                <c:pt idx="181">
                  <c:v>736.583503230519</c:v>
                </c:pt>
                <c:pt idx="182">
                  <c:v>740.266420746671</c:v>
                </c:pt>
                <c:pt idx="183">
                  <c:v>743.967752850404</c:v>
                </c:pt>
                <c:pt idx="184">
                  <c:v>747.687591614656</c:v>
                </c:pt>
                <c:pt idx="185">
                  <c:v>751.42602957273</c:v>
                </c:pt>
                <c:pt idx="186">
                  <c:v>755.183159720593</c:v>
                </c:pt>
                <c:pt idx="187">
                  <c:v>758.959075519196</c:v>
                </c:pt>
                <c:pt idx="188">
                  <c:v>762.753870896792</c:v>
                </c:pt>
                <c:pt idx="189">
                  <c:v>766.567640251276</c:v>
                </c:pt>
                <c:pt idx="190">
                  <c:v>770.400478452532</c:v>
                </c:pt>
                <c:pt idx="191">
                  <c:v>774.252480844795</c:v>
                </c:pt>
                <c:pt idx="192">
                  <c:v>778.123743249019</c:v>
                </c:pt>
                <c:pt idx="193">
                  <c:v>782.014361965263</c:v>
                </c:pt>
                <c:pt idx="194">
                  <c:v>785.924433775089</c:v>
                </c:pt>
                <c:pt idx="195">
                  <c:v>789.854055943966</c:v>
                </c:pt>
                <c:pt idx="196">
                  <c:v>793.803326223685</c:v>
                </c:pt>
                <c:pt idx="197">
                  <c:v>797.772342854803</c:v>
                </c:pt>
                <c:pt idx="198">
                  <c:v>801.761204569077</c:v>
                </c:pt>
                <c:pt idx="199">
                  <c:v>805.770010591922</c:v>
                </c:pt>
                <c:pt idx="200">
                  <c:v>809.798860644882</c:v>
                </c:pt>
                <c:pt idx="201">
                  <c:v>813.847854948106</c:v>
                </c:pt>
                <c:pt idx="202">
                  <c:v>817.917094222847</c:v>
                </c:pt>
                <c:pt idx="203">
                  <c:v>822.006679693961</c:v>
                </c:pt>
                <c:pt idx="204">
                  <c:v>826.11671309243</c:v>
                </c:pt>
                <c:pt idx="205">
                  <c:v>830.247296657892</c:v>
                </c:pt>
                <c:pt idx="206">
                  <c:v>834.398533141182</c:v>
                </c:pt>
                <c:pt idx="207">
                  <c:v>838.570525806888</c:v>
                </c:pt>
                <c:pt idx="208">
                  <c:v>842.763378435922</c:v>
                </c:pt>
                <c:pt idx="209">
                  <c:v>846.977195328102</c:v>
                </c:pt>
                <c:pt idx="210">
                  <c:v>851.212081304742</c:v>
                </c:pt>
                <c:pt idx="211">
                  <c:v>855.468141711266</c:v>
                </c:pt>
                <c:pt idx="212">
                  <c:v>859.745482419822</c:v>
                </c:pt>
                <c:pt idx="213">
                  <c:v>864.044209831921</c:v>
                </c:pt>
                <c:pt idx="214">
                  <c:v>868.364430881081</c:v>
                </c:pt>
                <c:pt idx="215">
                  <c:v>872.706253035486</c:v>
                </c:pt>
                <c:pt idx="216">
                  <c:v>877.069784300663</c:v>
                </c:pt>
                <c:pt idx="217">
                  <c:v>881.455133222166</c:v>
                </c:pt>
                <c:pt idx="218">
                  <c:v>885.862408888277</c:v>
                </c:pt>
                <c:pt idx="219">
                  <c:v>890.291720932719</c:v>
                </c:pt>
                <c:pt idx="220">
                  <c:v>894.743179537382</c:v>
                </c:pt>
                <c:pt idx="221">
                  <c:v>899.216895435069</c:v>
                </c:pt>
                <c:pt idx="222">
                  <c:v>903.712979912245</c:v>
                </c:pt>
                <c:pt idx="223">
                  <c:v>908.231544811805</c:v>
                </c:pt>
                <c:pt idx="224">
                  <c:v>912.772702535864</c:v>
                </c:pt>
                <c:pt idx="225">
                  <c:v>917.336566048543</c:v>
                </c:pt>
                <c:pt idx="226">
                  <c:v>921.923248878786</c:v>
                </c:pt>
                <c:pt idx="227">
                  <c:v>926.53286512318</c:v>
                </c:pt>
                <c:pt idx="228">
                  <c:v>931.165529448796</c:v>
                </c:pt>
                <c:pt idx="229">
                  <c:v>935.82135709604</c:v>
                </c:pt>
                <c:pt idx="230">
                  <c:v>940.50046388152</c:v>
                </c:pt>
                <c:pt idx="231">
                  <c:v>945.202966200927</c:v>
                </c:pt>
                <c:pt idx="232">
                  <c:v>949.928981031932</c:v>
                </c:pt>
                <c:pt idx="233">
                  <c:v>954.678625937091</c:v>
                </c:pt>
                <c:pt idx="234">
                  <c:v>959.452019066777</c:v>
                </c:pt>
                <c:pt idx="235">
                  <c:v>964.24927916211</c:v>
                </c:pt>
                <c:pt idx="236">
                  <c:v>969.070525557921</c:v>
                </c:pt>
                <c:pt idx="237">
                  <c:v>973.91587818571</c:v>
                </c:pt>
                <c:pt idx="238">
                  <c:v>978.785457576639</c:v>
                </c:pt>
                <c:pt idx="239">
                  <c:v>983.679384864522</c:v>
                </c:pt>
                <c:pt idx="240">
                  <c:v>988.597781788844</c:v>
                </c:pt>
                <c:pt idx="241">
                  <c:v>993.540770697788</c:v>
                </c:pt>
                <c:pt idx="242">
                  <c:v>998.508474551277</c:v>
                </c:pt>
                <c:pt idx="243">
                  <c:v>1003.50101692403</c:v>
                </c:pt>
                <c:pt idx="244">
                  <c:v>1008.51852200865</c:v>
                </c:pt>
                <c:pt idx="245">
                  <c:v>1013.5611146187</c:v>
                </c:pt>
                <c:pt idx="246">
                  <c:v>1018.62892019179</c:v>
                </c:pt>
                <c:pt idx="247">
                  <c:v>1023.72206479275</c:v>
                </c:pt>
                <c:pt idx="248">
                  <c:v>1028.84067511671</c:v>
                </c:pt>
                <c:pt idx="249">
                  <c:v>1033.9848784923</c:v>
                </c:pt>
                <c:pt idx="250">
                  <c:v>1039.15480288476</c:v>
                </c:pt>
                <c:pt idx="251">
                  <c:v>1044.35057689918</c:v>
                </c:pt>
                <c:pt idx="252">
                  <c:v>1049.57232978368</c:v>
                </c:pt>
                <c:pt idx="253">
                  <c:v>1054.8201914326</c:v>
                </c:pt>
                <c:pt idx="254">
                  <c:v>1060.09429238976</c:v>
                </c:pt>
                <c:pt idx="255">
                  <c:v>1065.39476385171</c:v>
                </c:pt>
                <c:pt idx="256">
                  <c:v>1070.72173767097</c:v>
                </c:pt>
                <c:pt idx="257">
                  <c:v>1076.07534635932</c:v>
                </c:pt>
                <c:pt idx="258">
                  <c:v>1081.45572309112</c:v>
                </c:pt>
                <c:pt idx="259">
                  <c:v>1086.86300170657</c:v>
                </c:pt>
                <c:pt idx="260">
                  <c:v>1092.2973167151</c:v>
                </c:pt>
                <c:pt idx="261">
                  <c:v>1097.75880329868</c:v>
                </c:pt>
                <c:pt idx="262">
                  <c:v>1103.24759731517</c:v>
                </c:pt>
                <c:pt idx="263">
                  <c:v>1108.76383530175</c:v>
                </c:pt>
                <c:pt idx="264">
                  <c:v>1114.30765447826</c:v>
                </c:pt>
                <c:pt idx="265">
                  <c:v>1119.87919275065</c:v>
                </c:pt>
                <c:pt idx="266">
                  <c:v>1125.4785887144</c:v>
                </c:pt>
                <c:pt idx="267">
                  <c:v>1131.10598165797</c:v>
                </c:pt>
                <c:pt idx="268">
                  <c:v>1136.76151156626</c:v>
                </c:pt>
                <c:pt idx="269">
                  <c:v>1142.4453191241</c:v>
                </c:pt>
                <c:pt idx="270">
                  <c:v>1148.15754571971</c:v>
                </c:pt>
                <c:pt idx="271">
                  <c:v>1153.89833344831</c:v>
                </c:pt>
                <c:pt idx="272">
                  <c:v>1159.66782511556</c:v>
                </c:pt>
                <c:pt idx="273">
                  <c:v>1165.46616424113</c:v>
                </c:pt>
                <c:pt idx="274">
                  <c:v>1171.29349506234</c:v>
                </c:pt>
                <c:pt idx="275">
                  <c:v>1177.14996253765</c:v>
                </c:pt>
                <c:pt idx="276">
                  <c:v>1183.03571235034</c:v>
                </c:pt>
                <c:pt idx="277">
                  <c:v>1188.95089091209</c:v>
                </c:pt>
                <c:pt idx="278">
                  <c:v>1194.89564536665</c:v>
                </c:pt>
                <c:pt idx="279">
                  <c:v>1200.87012359348</c:v>
                </c:pt>
                <c:pt idx="280">
                  <c:v>1206.87447421145</c:v>
                </c:pt>
                <c:pt idx="281">
                  <c:v>1212.90884658251</c:v>
                </c:pt>
                <c:pt idx="282">
                  <c:v>1218.97339081542</c:v>
                </c:pt>
                <c:pt idx="283">
                  <c:v>1225.0682577695</c:v>
                </c:pt>
                <c:pt idx="284">
                  <c:v>1231.19359905834</c:v>
                </c:pt>
                <c:pt idx="285">
                  <c:v>1237.34956705364</c:v>
                </c:pt>
                <c:pt idx="286">
                  <c:v>1243.5363148889</c:v>
                </c:pt>
                <c:pt idx="287">
                  <c:v>1249.75399646335</c:v>
                </c:pt>
                <c:pt idx="288">
                  <c:v>1256.00276644566</c:v>
                </c:pt>
                <c:pt idx="289">
                  <c:v>1262.28278027789</c:v>
                </c:pt>
                <c:pt idx="290">
                  <c:v>1268.59419417928</c:v>
                </c:pt>
                <c:pt idx="291">
                  <c:v>1274.93716515018</c:v>
                </c:pt>
                <c:pt idx="292">
                  <c:v>1281.31185097593</c:v>
                </c:pt>
                <c:pt idx="293">
                  <c:v>1287.71841023081</c:v>
                </c:pt>
                <c:pt idx="294">
                  <c:v>1294.15700228196</c:v>
                </c:pt>
                <c:pt idx="295">
                  <c:v>1300.62778729337</c:v>
                </c:pt>
                <c:pt idx="296">
                  <c:v>1307.13092622984</c:v>
                </c:pt>
                <c:pt idx="297">
                  <c:v>1313.66658086099</c:v>
                </c:pt>
                <c:pt idx="298">
                  <c:v>1320.23491376529</c:v>
                </c:pt>
                <c:pt idx="299">
                  <c:v>1326.83608833412</c:v>
                </c:pt>
                <c:pt idx="300">
                  <c:v>1333.47026877579</c:v>
                </c:pt>
                <c:pt idx="301">
                  <c:v>1340.13762011967</c:v>
                </c:pt>
                <c:pt idx="302">
                  <c:v>1346.83830822027</c:v>
                </c:pt>
                <c:pt idx="303">
                  <c:v>1353.57249976137</c:v>
                </c:pt>
                <c:pt idx="304">
                  <c:v>1360.34036226017</c:v>
                </c:pt>
                <c:pt idx="305">
                  <c:v>1367.14206407148</c:v>
                </c:pt>
                <c:pt idx="306">
                  <c:v>1373.97777439183</c:v>
                </c:pt>
                <c:pt idx="307">
                  <c:v>1380.84766326379</c:v>
                </c:pt>
                <c:pt idx="308">
                  <c:v>1387.75190158011</c:v>
                </c:pt>
                <c:pt idx="309">
                  <c:v>1394.69066108801</c:v>
                </c:pt>
                <c:pt idx="310">
                  <c:v>1401.66411439345</c:v>
                </c:pt>
                <c:pt idx="311">
                  <c:v>1408.67243496542</c:v>
                </c:pt>
                <c:pt idx="312">
                  <c:v>1415.71579714024</c:v>
                </c:pt>
                <c:pt idx="313">
                  <c:v>1422.79437612595</c:v>
                </c:pt>
                <c:pt idx="314">
                  <c:v>1429.90834800658</c:v>
                </c:pt>
                <c:pt idx="315">
                  <c:v>1437.05788974661</c:v>
                </c:pt>
                <c:pt idx="316">
                  <c:v>1444.24317919534</c:v>
                </c:pt>
                <c:pt idx="317">
                  <c:v>1451.46439509132</c:v>
                </c:pt>
                <c:pt idx="318">
                  <c:v>1458.72171706677</c:v>
                </c:pt>
                <c:pt idx="319">
                  <c:v>1466.01532565211</c:v>
                </c:pt>
                <c:pt idx="320">
                  <c:v>1473.34540228037</c:v>
                </c:pt>
                <c:pt idx="321">
                  <c:v>1480.71212929177</c:v>
                </c:pt>
                <c:pt idx="322">
                  <c:v>1488.11568993823</c:v>
                </c:pt>
                <c:pt idx="323">
                  <c:v>1495.55626838792</c:v>
                </c:pt>
                <c:pt idx="324">
                  <c:v>1503.03404972986</c:v>
                </c:pt>
                <c:pt idx="325">
                  <c:v>1510.54921997851</c:v>
                </c:pt>
                <c:pt idx="326">
                  <c:v>1518.1019660784</c:v>
                </c:pt>
                <c:pt idx="327">
                  <c:v>1525.69247590879</c:v>
                </c:pt>
                <c:pt idx="328">
                  <c:v>1533.32093828834</c:v>
                </c:pt>
                <c:pt idx="329">
                  <c:v>1540.98754297978</c:v>
                </c:pt>
                <c:pt idx="330">
                  <c:v>1548.69248069468</c:v>
                </c:pt>
                <c:pt idx="331">
                  <c:v>1556.43594309815</c:v>
                </c:pt>
                <c:pt idx="332">
                  <c:v>1564.21812281364</c:v>
                </c:pt>
                <c:pt idx="333">
                  <c:v>1572.03921342771</c:v>
                </c:pt>
                <c:pt idx="334">
                  <c:v>1579.89940949485</c:v>
                </c:pt>
                <c:pt idx="335">
                  <c:v>1587.79890654232</c:v>
                </c:pt>
                <c:pt idx="336">
                  <c:v>1595.73790107503</c:v>
                </c:pt>
                <c:pt idx="337">
                  <c:v>1603.71659058041</c:v>
                </c:pt>
                <c:pt idx="338">
                  <c:v>1611.73517353331</c:v>
                </c:pt>
                <c:pt idx="339">
                  <c:v>1619.79384940098</c:v>
                </c:pt>
                <c:pt idx="340">
                  <c:v>1627.89281864798</c:v>
                </c:pt>
                <c:pt idx="341">
                  <c:v>1636.03228274122</c:v>
                </c:pt>
                <c:pt idx="342">
                  <c:v>1644.21244415493</c:v>
                </c:pt>
                <c:pt idx="343">
                  <c:v>1652.4335063757</c:v>
                </c:pt>
                <c:pt idx="344">
                  <c:v>1660.69567390758</c:v>
                </c:pt>
                <c:pt idx="345">
                  <c:v>1668.99915227712</c:v>
                </c:pt>
                <c:pt idx="346">
                  <c:v>1677.3441480385</c:v>
                </c:pt>
                <c:pt idx="347">
                  <c:v>1685.73086877869</c:v>
                </c:pt>
                <c:pt idx="348">
                  <c:v>1694.15952312259</c:v>
                </c:pt>
                <c:pt idx="349">
                  <c:v>1702.6303207382</c:v>
                </c:pt>
                <c:pt idx="350">
                  <c:v>1711.14347234189</c:v>
                </c:pt>
                <c:pt idx="351">
                  <c:v>1719.6991897036</c:v>
                </c:pt>
                <c:pt idx="352">
                  <c:v>1728.29768565212</c:v>
                </c:pt>
                <c:pt idx="353">
                  <c:v>1736.93917408038</c:v>
                </c:pt>
                <c:pt idx="354">
                  <c:v>1745.62386995078</c:v>
                </c:pt>
                <c:pt idx="355">
                  <c:v>1754.35198930053</c:v>
                </c:pt>
                <c:pt idx="356">
                  <c:v>1763.12374924704</c:v>
                </c:pt>
                <c:pt idx="357">
                  <c:v>1771.93936799327</c:v>
                </c:pt>
                <c:pt idx="358">
                  <c:v>1780.79906483324</c:v>
                </c:pt>
                <c:pt idx="359">
                  <c:v>1789.7030601574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4944034"/>
        <c:axId val="88587196"/>
      </c:lineChart>
      <c:catAx>
        <c:axId val="6494403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8587196"/>
        <c:crosses val="autoZero"/>
        <c:auto val="1"/>
        <c:lblAlgn val="ctr"/>
        <c:lblOffset val="100"/>
        <c:noMultiLvlLbl val="0"/>
      </c:catAx>
      <c:valAx>
        <c:axId val="8858719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Dollars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4944034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</xdr:row>
      <xdr:rowOff>0</xdr:rowOff>
    </xdr:from>
    <xdr:to>
      <xdr:col>18</xdr:col>
      <xdr:colOff>473040</xdr:colOff>
      <xdr:row>19</xdr:row>
      <xdr:rowOff>170640</xdr:rowOff>
    </xdr:to>
    <xdr:graphicFrame>
      <xdr:nvGraphicFramePr>
        <xdr:cNvPr id="1" name="Chart 1"/>
        <xdr:cNvGraphicFramePr/>
      </xdr:nvGraphicFramePr>
      <xdr:xfrm>
        <a:off x="6109200" y="190440"/>
        <a:ext cx="71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"/>
    <col collapsed="false" customWidth="true" hidden="false" outlineLevel="0" max="5" min="3" style="0" width="12"/>
    <col collapsed="false" customWidth="true" hidden="false" outlineLevel="0" max="6" min="6" style="0" width="16"/>
  </cols>
  <sheetData>
    <row r="1" customFormat="false" ht="15" hidden="false" customHeight="false" outlineLevel="0" collapsed="false">
      <c r="A1" s="1" t="s">
        <v>0</v>
      </c>
      <c r="B1" s="2" t="n">
        <v>300000</v>
      </c>
    </row>
    <row r="2" customFormat="false" ht="15" hidden="false" customHeight="false" outlineLevel="0" collapsed="false">
      <c r="A2" s="1" t="s">
        <v>1</v>
      </c>
      <c r="B2" s="3" t="n">
        <v>0.06</v>
      </c>
    </row>
    <row r="3" customFormat="false" ht="15" hidden="false" customHeight="false" outlineLevel="0" collapsed="false">
      <c r="A3" s="1" t="s">
        <v>2</v>
      </c>
      <c r="B3" s="4" t="n">
        <v>30</v>
      </c>
    </row>
    <row r="5" customFormat="false" ht="15" hidden="false" customHeight="false" outlineLevel="0" collapsed="false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customFormat="false" ht="15" hidden="false" customHeight="false" outlineLevel="0" collapsed="false">
      <c r="A6" s="0" t="n">
        <v>1</v>
      </c>
      <c r="B6" s="5" t="n">
        <f aca="false">$B$1</f>
        <v>300000</v>
      </c>
      <c r="C6" s="5" t="n">
        <f aca="false">-PMT($B$2/12,$B$3*12,$B$1)</f>
        <v>1798.65157545826</v>
      </c>
      <c r="D6" s="5" t="n">
        <f aca="false">-IPMT($B$2/12,1,$B$3*12,$B$1)</f>
        <v>1500</v>
      </c>
      <c r="E6" s="5" t="n">
        <f aca="false">-PPMT($B$2/12,1,$B$3*12,$B$1)</f>
        <v>298.651575458257</v>
      </c>
      <c r="F6" s="5" t="n">
        <f aca="false">B6-E6</f>
        <v>299701.348424542</v>
      </c>
    </row>
    <row r="7" customFormat="false" ht="15" hidden="false" customHeight="false" outlineLevel="0" collapsed="false">
      <c r="A7" s="0" t="n">
        <v>2</v>
      </c>
      <c r="B7" s="5" t="n">
        <f aca="false">F6</f>
        <v>299701.348424542</v>
      </c>
      <c r="C7" s="5" t="n">
        <f aca="false">-PMT($B$2/12,$B$3*12,$B$1)</f>
        <v>1798.65157545826</v>
      </c>
      <c r="D7" s="5" t="n">
        <f aca="false">-IPMT($B$2/12,2,$B$3*12,$B$1)</f>
        <v>1498.50674212271</v>
      </c>
      <c r="E7" s="5" t="n">
        <f aca="false">-PPMT($B$2/12,2,$B$3*12,$B$1)</f>
        <v>300.144833335549</v>
      </c>
      <c r="F7" s="5" t="n">
        <f aca="false">B7-E7</f>
        <v>299401.203591206</v>
      </c>
    </row>
    <row r="8" customFormat="false" ht="15" hidden="false" customHeight="false" outlineLevel="0" collapsed="false">
      <c r="A8" s="0" t="n">
        <v>3</v>
      </c>
      <c r="B8" s="5" t="n">
        <f aca="false">F7</f>
        <v>299401.203591206</v>
      </c>
      <c r="C8" s="5" t="n">
        <f aca="false">-PMT($B$2/12,$B$3*12,$B$1)</f>
        <v>1798.65157545826</v>
      </c>
      <c r="D8" s="5" t="n">
        <f aca="false">-IPMT($B$2/12,3,$B$3*12,$B$1)</f>
        <v>1497.00601795603</v>
      </c>
      <c r="E8" s="5" t="n">
        <f aca="false">-PPMT($B$2/12,3,$B$3*12,$B$1)</f>
        <v>301.645557502226</v>
      </c>
      <c r="F8" s="5" t="n">
        <f aca="false">B8-E8</f>
        <v>299099.558033704</v>
      </c>
    </row>
    <row r="9" customFormat="false" ht="15" hidden="false" customHeight="false" outlineLevel="0" collapsed="false">
      <c r="A9" s="0" t="n">
        <v>4</v>
      </c>
      <c r="B9" s="5" t="n">
        <f aca="false">F8</f>
        <v>299099.558033704</v>
      </c>
      <c r="C9" s="5" t="n">
        <f aca="false">-PMT($B$2/12,$B$3*12,$B$1)</f>
        <v>1798.65157545826</v>
      </c>
      <c r="D9" s="5" t="n">
        <f aca="false">-IPMT($B$2/12,4,$B$3*12,$B$1)</f>
        <v>1495.49779016852</v>
      </c>
      <c r="E9" s="5" t="n">
        <f aca="false">-PPMT($B$2/12,4,$B$3*12,$B$1)</f>
        <v>303.153785289737</v>
      </c>
      <c r="F9" s="5" t="n">
        <f aca="false">B9-E9</f>
        <v>298796.404248414</v>
      </c>
    </row>
    <row r="10" customFormat="false" ht="15" hidden="false" customHeight="false" outlineLevel="0" collapsed="false">
      <c r="A10" s="0" t="n">
        <v>5</v>
      </c>
      <c r="B10" s="5" t="n">
        <f aca="false">F9</f>
        <v>298796.404248414</v>
      </c>
      <c r="C10" s="5" t="n">
        <f aca="false">-PMT($B$2/12,$B$3*12,$B$1)</f>
        <v>1798.65157545826</v>
      </c>
      <c r="D10" s="5" t="n">
        <f aca="false">-IPMT($B$2/12,5,$B$3*12,$B$1)</f>
        <v>1493.98202124207</v>
      </c>
      <c r="E10" s="5" t="n">
        <f aca="false">-PPMT($B$2/12,5,$B$3*12,$B$1)</f>
        <v>304.669554216186</v>
      </c>
      <c r="F10" s="5" t="n">
        <f aca="false">B10-E10</f>
        <v>298491.734694198</v>
      </c>
    </row>
    <row r="11" customFormat="false" ht="15" hidden="false" customHeight="false" outlineLevel="0" collapsed="false">
      <c r="A11" s="0" t="n">
        <v>6</v>
      </c>
      <c r="B11" s="5" t="n">
        <f aca="false">F10</f>
        <v>298491.734694198</v>
      </c>
      <c r="C11" s="5" t="n">
        <f aca="false">-PMT($B$2/12,$B$3*12,$B$1)</f>
        <v>1798.65157545826</v>
      </c>
      <c r="D11" s="5" t="n">
        <f aca="false">-IPMT($B$2/12,6,$B$3*12,$B$1)</f>
        <v>1492.45867347099</v>
      </c>
      <c r="E11" s="5" t="n">
        <f aca="false">-PPMT($B$2/12,6,$B$3*12,$B$1)</f>
        <v>306.192901987267</v>
      </c>
      <c r="F11" s="5" t="n">
        <f aca="false">B11-E11</f>
        <v>298185.541792211</v>
      </c>
    </row>
    <row r="12" customFormat="false" ht="15" hidden="false" customHeight="false" outlineLevel="0" collapsed="false">
      <c r="A12" s="0" t="n">
        <v>7</v>
      </c>
      <c r="B12" s="5" t="n">
        <f aca="false">F11</f>
        <v>298185.541792211</v>
      </c>
      <c r="C12" s="5" t="n">
        <f aca="false">-PMT($B$2/12,$B$3*12,$B$1)</f>
        <v>1798.65157545826</v>
      </c>
      <c r="D12" s="5" t="n">
        <f aca="false">-IPMT($B$2/12,7,$B$3*12,$B$1)</f>
        <v>1490.92770896105</v>
      </c>
      <c r="E12" s="5" t="n">
        <f aca="false">-PPMT($B$2/12,7,$B$3*12,$B$1)</f>
        <v>307.723866497203</v>
      </c>
      <c r="F12" s="5" t="n">
        <f aca="false">B12-E12</f>
        <v>297877.817925714</v>
      </c>
    </row>
    <row r="13" customFormat="false" ht="15" hidden="false" customHeight="false" outlineLevel="0" collapsed="false">
      <c r="A13" s="0" t="n">
        <v>8</v>
      </c>
      <c r="B13" s="5" t="n">
        <f aca="false">F12</f>
        <v>297877.817925714</v>
      </c>
      <c r="C13" s="5" t="n">
        <f aca="false">-PMT($B$2/12,$B$3*12,$B$1)</f>
        <v>1798.65157545826</v>
      </c>
      <c r="D13" s="5" t="n">
        <f aca="false">-IPMT($B$2/12,8,$B$3*12,$B$1)</f>
        <v>1489.38908962857</v>
      </c>
      <c r="E13" s="5" t="n">
        <f aca="false">-PPMT($B$2/12,8,$B$3*12,$B$1)</f>
        <v>309.262485829689</v>
      </c>
      <c r="F13" s="5" t="n">
        <f aca="false">B13-E13</f>
        <v>297568.555439884</v>
      </c>
    </row>
    <row r="14" customFormat="false" ht="15" hidden="false" customHeight="false" outlineLevel="0" collapsed="false">
      <c r="A14" s="0" t="n">
        <v>9</v>
      </c>
      <c r="B14" s="5" t="n">
        <f aca="false">F13</f>
        <v>297568.555439884</v>
      </c>
      <c r="C14" s="5" t="n">
        <f aca="false">-PMT($B$2/12,$B$3*12,$B$1)</f>
        <v>1798.65157545826</v>
      </c>
      <c r="D14" s="5" t="n">
        <f aca="false">-IPMT($B$2/12,9,$B$3*12,$B$1)</f>
        <v>1487.84277719942</v>
      </c>
      <c r="E14" s="5" t="n">
        <f aca="false">-PPMT($B$2/12,9,$B$3*12,$B$1)</f>
        <v>310.808798258838</v>
      </c>
      <c r="F14" s="5" t="n">
        <f aca="false">B14-E14</f>
        <v>297257.746641625</v>
      </c>
    </row>
    <row r="15" customFormat="false" ht="15" hidden="false" customHeight="false" outlineLevel="0" collapsed="false">
      <c r="A15" s="0" t="n">
        <v>10</v>
      </c>
      <c r="B15" s="5" t="n">
        <f aca="false">F14</f>
        <v>297257.746641625</v>
      </c>
      <c r="C15" s="5" t="n">
        <f aca="false">-PMT($B$2/12,$B$3*12,$B$1)</f>
        <v>1798.65157545826</v>
      </c>
      <c r="D15" s="5" t="n">
        <f aca="false">-IPMT($B$2/12,10,$B$3*12,$B$1)</f>
        <v>1486.28873320813</v>
      </c>
      <c r="E15" s="5" t="n">
        <f aca="false">-PPMT($B$2/12,10,$B$3*12,$B$1)</f>
        <v>312.362842250132</v>
      </c>
      <c r="F15" s="5" t="n">
        <f aca="false">B15-E15</f>
        <v>296945.383799375</v>
      </c>
    </row>
    <row r="16" customFormat="false" ht="15" hidden="false" customHeight="false" outlineLevel="0" collapsed="false">
      <c r="A16" s="0" t="n">
        <v>11</v>
      </c>
      <c r="B16" s="5" t="n">
        <f aca="false">F15</f>
        <v>296945.383799375</v>
      </c>
      <c r="C16" s="5" t="n">
        <f aca="false">-PMT($B$2/12,$B$3*12,$B$1)</f>
        <v>1798.65157545826</v>
      </c>
      <c r="D16" s="5" t="n">
        <f aca="false">-IPMT($B$2/12,11,$B$3*12,$B$1)</f>
        <v>1484.72691899688</v>
      </c>
      <c r="E16" s="5" t="n">
        <f aca="false">-PPMT($B$2/12,11,$B$3*12,$B$1)</f>
        <v>313.924656461383</v>
      </c>
      <c r="F16" s="5" t="n">
        <f aca="false">B16-E16</f>
        <v>296631.459142913</v>
      </c>
    </row>
    <row r="17" customFormat="false" ht="15" hidden="false" customHeight="false" outlineLevel="0" collapsed="false">
      <c r="A17" s="0" t="n">
        <v>12</v>
      </c>
      <c r="B17" s="5" t="n">
        <f aca="false">F16</f>
        <v>296631.459142913</v>
      </c>
      <c r="C17" s="5" t="n">
        <f aca="false">-PMT($B$2/12,$B$3*12,$B$1)</f>
        <v>1798.65157545826</v>
      </c>
      <c r="D17" s="5" t="n">
        <f aca="false">-IPMT($B$2/12,12,$B$3*12,$B$1)</f>
        <v>1483.15729571457</v>
      </c>
      <c r="E17" s="5" t="n">
        <f aca="false">-PPMT($B$2/12,12,$B$3*12,$B$1)</f>
        <v>315.49427974369</v>
      </c>
      <c r="F17" s="5" t="n">
        <f aca="false">B17-E17</f>
        <v>296315.96486317</v>
      </c>
    </row>
    <row r="18" customFormat="false" ht="15" hidden="false" customHeight="false" outlineLevel="0" collapsed="false">
      <c r="A18" s="0" t="n">
        <v>13</v>
      </c>
      <c r="B18" s="5" t="n">
        <f aca="false">F17</f>
        <v>296315.96486317</v>
      </c>
      <c r="C18" s="5" t="n">
        <f aca="false">-PMT($B$2/12,$B$3*12,$B$1)</f>
        <v>1798.65157545826</v>
      </c>
      <c r="D18" s="5" t="n">
        <f aca="false">-IPMT($B$2/12,13,$B$3*12,$B$1)</f>
        <v>1481.57982431585</v>
      </c>
      <c r="E18" s="5" t="n">
        <f aca="false">-PPMT($B$2/12,13,$B$3*12,$B$1)</f>
        <v>317.071751142408</v>
      </c>
      <c r="F18" s="5" t="n">
        <f aca="false">B18-E18</f>
        <v>295998.893112027</v>
      </c>
    </row>
    <row r="19" customFormat="false" ht="15" hidden="false" customHeight="false" outlineLevel="0" collapsed="false">
      <c r="A19" s="0" t="n">
        <v>14</v>
      </c>
      <c r="B19" s="5" t="n">
        <f aca="false">F18</f>
        <v>295998.893112027</v>
      </c>
      <c r="C19" s="5" t="n">
        <f aca="false">-PMT($B$2/12,$B$3*12,$B$1)</f>
        <v>1798.65157545826</v>
      </c>
      <c r="D19" s="5" t="n">
        <f aca="false">-IPMT($B$2/12,14,$B$3*12,$B$1)</f>
        <v>1479.99446556014</v>
      </c>
      <c r="E19" s="5" t="n">
        <f aca="false">-PPMT($B$2/12,14,$B$3*12,$B$1)</f>
        <v>318.65710989812</v>
      </c>
      <c r="F19" s="5" t="n">
        <f aca="false">B19-E19</f>
        <v>295680.236002129</v>
      </c>
    </row>
    <row r="20" customFormat="false" ht="15" hidden="false" customHeight="false" outlineLevel="0" collapsed="false">
      <c r="A20" s="0" t="n">
        <v>15</v>
      </c>
      <c r="B20" s="5" t="n">
        <f aca="false">F19</f>
        <v>295680.236002129</v>
      </c>
      <c r="C20" s="5" t="n">
        <f aca="false">-PMT($B$2/12,$B$3*12,$B$1)</f>
        <v>1798.65157545826</v>
      </c>
      <c r="D20" s="5" t="n">
        <f aca="false">-IPMT($B$2/12,15,$B$3*12,$B$1)</f>
        <v>1478.40118001065</v>
      </c>
      <c r="E20" s="5" t="n">
        <f aca="false">-PPMT($B$2/12,15,$B$3*12,$B$1)</f>
        <v>320.25039544761</v>
      </c>
      <c r="F20" s="5" t="n">
        <f aca="false">B20-E20</f>
        <v>295359.985606682</v>
      </c>
    </row>
    <row r="21" customFormat="false" ht="15" hidden="false" customHeight="false" outlineLevel="0" collapsed="false">
      <c r="A21" s="0" t="n">
        <v>16</v>
      </c>
      <c r="B21" s="5" t="n">
        <f aca="false">F20</f>
        <v>295359.985606682</v>
      </c>
      <c r="C21" s="5" t="n">
        <f aca="false">-PMT($B$2/12,$B$3*12,$B$1)</f>
        <v>1798.65157545826</v>
      </c>
      <c r="D21" s="5" t="n">
        <f aca="false">-IPMT($B$2/12,16,$B$3*12,$B$1)</f>
        <v>1476.79992803341</v>
      </c>
      <c r="E21" s="5" t="n">
        <f aca="false">-PPMT($B$2/12,16,$B$3*12,$B$1)</f>
        <v>321.851647424848</v>
      </c>
      <c r="F21" s="5" t="n">
        <f aca="false">B21-E21</f>
        <v>295038.133959257</v>
      </c>
    </row>
    <row r="22" customFormat="false" ht="15" hidden="false" customHeight="false" outlineLevel="0" collapsed="false">
      <c r="A22" s="0" t="n">
        <v>17</v>
      </c>
      <c r="B22" s="5" t="n">
        <f aca="false">F21</f>
        <v>295038.133959257</v>
      </c>
      <c r="C22" s="5" t="n">
        <f aca="false">-PMT($B$2/12,$B$3*12,$B$1)</f>
        <v>1798.65157545826</v>
      </c>
      <c r="D22" s="5" t="n">
        <f aca="false">-IPMT($B$2/12,17,$B$3*12,$B$1)</f>
        <v>1475.19066979628</v>
      </c>
      <c r="E22" s="5" t="n">
        <f aca="false">-PPMT($B$2/12,17,$B$3*12,$B$1)</f>
        <v>323.460905661973</v>
      </c>
      <c r="F22" s="5" t="n">
        <f aca="false">B22-E22</f>
        <v>294714.673053595</v>
      </c>
    </row>
    <row r="23" customFormat="false" ht="15" hidden="false" customHeight="false" outlineLevel="0" collapsed="false">
      <c r="A23" s="0" t="n">
        <v>18</v>
      </c>
      <c r="B23" s="5" t="n">
        <f aca="false">F22</f>
        <v>294714.673053595</v>
      </c>
      <c r="C23" s="5" t="n">
        <f aca="false">-PMT($B$2/12,$B$3*12,$B$1)</f>
        <v>1798.65157545826</v>
      </c>
      <c r="D23" s="5" t="n">
        <f aca="false">-IPMT($B$2/12,18,$B$3*12,$B$1)</f>
        <v>1473.57336526798</v>
      </c>
      <c r="E23" s="5" t="n">
        <f aca="false">-PPMT($B$2/12,18,$B$3*12,$B$1)</f>
        <v>325.078210190282</v>
      </c>
      <c r="F23" s="5" t="n">
        <f aca="false">B23-E23</f>
        <v>294389.594843405</v>
      </c>
    </row>
    <row r="24" customFormat="false" ht="15" hidden="false" customHeight="false" outlineLevel="0" collapsed="false">
      <c r="A24" s="0" t="n">
        <v>19</v>
      </c>
      <c r="B24" s="5" t="n">
        <f aca="false">F23</f>
        <v>294389.594843405</v>
      </c>
      <c r="C24" s="5" t="n">
        <f aca="false">-PMT($B$2/12,$B$3*12,$B$1)</f>
        <v>1798.65157545826</v>
      </c>
      <c r="D24" s="5" t="n">
        <f aca="false">-IPMT($B$2/12,19,$B$3*12,$B$1)</f>
        <v>1471.94797421702</v>
      </c>
      <c r="E24" s="5" t="n">
        <f aca="false">-PPMT($B$2/12,19,$B$3*12,$B$1)</f>
        <v>326.703601241234</v>
      </c>
      <c r="F24" s="5" t="n">
        <f aca="false">B24-E24</f>
        <v>294062.891242163</v>
      </c>
    </row>
    <row r="25" customFormat="false" ht="15" hidden="false" customHeight="false" outlineLevel="0" collapsed="false">
      <c r="A25" s="0" t="n">
        <v>20</v>
      </c>
      <c r="B25" s="5" t="n">
        <f aca="false">F24</f>
        <v>294062.891242163</v>
      </c>
      <c r="C25" s="5" t="n">
        <f aca="false">-PMT($B$2/12,$B$3*12,$B$1)</f>
        <v>1798.65157545826</v>
      </c>
      <c r="D25" s="5" t="n">
        <f aca="false">-IPMT($B$2/12,20,$B$3*12,$B$1)</f>
        <v>1470.31445621082</v>
      </c>
      <c r="E25" s="5" t="n">
        <f aca="false">-PPMT($B$2/12,20,$B$3*12,$B$1)</f>
        <v>328.33711924744</v>
      </c>
      <c r="F25" s="5" t="n">
        <f aca="false">B25-E25</f>
        <v>293734.554122916</v>
      </c>
    </row>
    <row r="26" customFormat="false" ht="15" hidden="false" customHeight="false" outlineLevel="0" collapsed="false">
      <c r="A26" s="0" t="n">
        <v>21</v>
      </c>
      <c r="B26" s="5" t="n">
        <f aca="false">F25</f>
        <v>293734.554122916</v>
      </c>
      <c r="C26" s="5" t="n">
        <f aca="false">-PMT($B$2/12,$B$3*12,$B$1)</f>
        <v>1798.65157545826</v>
      </c>
      <c r="D26" s="5" t="n">
        <f aca="false">-IPMT($B$2/12,21,$B$3*12,$B$1)</f>
        <v>1468.67277061458</v>
      </c>
      <c r="E26" s="5" t="n">
        <f aca="false">-PPMT($B$2/12,21,$B$3*12,$B$1)</f>
        <v>329.978804843677</v>
      </c>
      <c r="F26" s="5" t="n">
        <f aca="false">B26-E26</f>
        <v>293404.575318072</v>
      </c>
    </row>
    <row r="27" customFormat="false" ht="15" hidden="false" customHeight="false" outlineLevel="0" collapsed="false">
      <c r="A27" s="0" t="n">
        <v>22</v>
      </c>
      <c r="B27" s="5" t="n">
        <f aca="false">F26</f>
        <v>293404.575318072</v>
      </c>
      <c r="C27" s="5" t="n">
        <f aca="false">-PMT($B$2/12,$B$3*12,$B$1)</f>
        <v>1798.65157545826</v>
      </c>
      <c r="D27" s="5" t="n">
        <f aca="false">-IPMT($B$2/12,22,$B$3*12,$B$1)</f>
        <v>1467.02287659036</v>
      </c>
      <c r="E27" s="5" t="n">
        <f aca="false">-PPMT($B$2/12,22,$B$3*12,$B$1)</f>
        <v>331.628698867895</v>
      </c>
      <c r="F27" s="5" t="n">
        <f aca="false">B27-E27</f>
        <v>293072.946619204</v>
      </c>
    </row>
    <row r="28" customFormat="false" ht="15" hidden="false" customHeight="false" outlineLevel="0" collapsed="false">
      <c r="A28" s="0" t="n">
        <v>23</v>
      </c>
      <c r="B28" s="5" t="n">
        <f aca="false">F27</f>
        <v>293072.946619204</v>
      </c>
      <c r="C28" s="5" t="n">
        <f aca="false">-PMT($B$2/12,$B$3*12,$B$1)</f>
        <v>1798.65157545826</v>
      </c>
      <c r="D28" s="5" t="n">
        <f aca="false">-IPMT($B$2/12,23,$B$3*12,$B$1)</f>
        <v>1465.36473309602</v>
      </c>
      <c r="E28" s="5" t="n">
        <f aca="false">-PPMT($B$2/12,23,$B$3*12,$B$1)</f>
        <v>333.286842362235</v>
      </c>
      <c r="F28" s="5" t="n">
        <f aca="false">B28-E28</f>
        <v>292739.659776842</v>
      </c>
    </row>
    <row r="29" customFormat="false" ht="15" hidden="false" customHeight="false" outlineLevel="0" collapsed="false">
      <c r="A29" s="0" t="n">
        <v>24</v>
      </c>
      <c r="B29" s="5" t="n">
        <f aca="false">F28</f>
        <v>292739.659776842</v>
      </c>
      <c r="C29" s="5" t="n">
        <f aca="false">-PMT($B$2/12,$B$3*12,$B$1)</f>
        <v>1798.65157545826</v>
      </c>
      <c r="D29" s="5" t="n">
        <f aca="false">-IPMT($B$2/12,24,$B$3*12,$B$1)</f>
        <v>1463.69829888421</v>
      </c>
      <c r="E29" s="5" t="n">
        <f aca="false">-PPMT($B$2/12,24,$B$3*12,$B$1)</f>
        <v>334.953276574046</v>
      </c>
      <c r="F29" s="5" t="n">
        <f aca="false">B29-E29</f>
        <v>292404.706500268</v>
      </c>
    </row>
    <row r="30" customFormat="false" ht="15" hidden="false" customHeight="false" outlineLevel="0" collapsed="false">
      <c r="A30" s="0" t="n">
        <v>25</v>
      </c>
      <c r="B30" s="5" t="n">
        <f aca="false">F29</f>
        <v>292404.706500268</v>
      </c>
      <c r="C30" s="5" t="n">
        <f aca="false">-PMT($B$2/12,$B$3*12,$B$1)</f>
        <v>1798.65157545826</v>
      </c>
      <c r="D30" s="5" t="n">
        <f aca="false">-IPMT($B$2/12,25,$B$3*12,$B$1)</f>
        <v>1462.02353250134</v>
      </c>
      <c r="E30" s="5" t="n">
        <f aca="false">-PPMT($B$2/12,25,$B$3*12,$B$1)</f>
        <v>336.628042956916</v>
      </c>
      <c r="F30" s="5" t="n">
        <f aca="false">B30-E30</f>
        <v>292068.078457311</v>
      </c>
    </row>
    <row r="31" customFormat="false" ht="15" hidden="false" customHeight="false" outlineLevel="0" collapsed="false">
      <c r="A31" s="0" t="n">
        <v>26</v>
      </c>
      <c r="B31" s="5" t="n">
        <f aca="false">F30</f>
        <v>292068.078457311</v>
      </c>
      <c r="C31" s="5" t="n">
        <f aca="false">-PMT($B$2/12,$B$3*12,$B$1)</f>
        <v>1798.65157545826</v>
      </c>
      <c r="D31" s="5" t="n">
        <f aca="false">-IPMT($B$2/12,26,$B$3*12,$B$1)</f>
        <v>1460.34039228656</v>
      </c>
      <c r="E31" s="5" t="n">
        <f aca="false">-PPMT($B$2/12,26,$B$3*12,$B$1)</f>
        <v>338.311183171701</v>
      </c>
      <c r="F31" s="5" t="n">
        <f aca="false">B31-E31</f>
        <v>291729.767274139</v>
      </c>
    </row>
    <row r="32" customFormat="false" ht="15" hidden="false" customHeight="false" outlineLevel="0" collapsed="false">
      <c r="A32" s="0" t="n">
        <v>27</v>
      </c>
      <c r="B32" s="5" t="n">
        <f aca="false">F31</f>
        <v>291729.767274139</v>
      </c>
      <c r="C32" s="5" t="n">
        <f aca="false">-PMT($B$2/12,$B$3*12,$B$1)</f>
        <v>1798.65157545826</v>
      </c>
      <c r="D32" s="5" t="n">
        <f aca="false">-IPMT($B$2/12,27,$B$3*12,$B$1)</f>
        <v>1458.6488363707</v>
      </c>
      <c r="E32" s="5" t="n">
        <f aca="false">-PPMT($B$2/12,27,$B$3*12,$B$1)</f>
        <v>340.002739087559</v>
      </c>
      <c r="F32" s="5" t="n">
        <f aca="false">B32-E32</f>
        <v>291389.764535052</v>
      </c>
    </row>
    <row r="33" customFormat="false" ht="15" hidden="false" customHeight="false" outlineLevel="0" collapsed="false">
      <c r="A33" s="0" t="n">
        <v>28</v>
      </c>
      <c r="B33" s="5" t="n">
        <f aca="false">F32</f>
        <v>291389.764535052</v>
      </c>
      <c r="C33" s="5" t="n">
        <f aca="false">-PMT($B$2/12,$B$3*12,$B$1)</f>
        <v>1798.65157545826</v>
      </c>
      <c r="D33" s="5" t="n">
        <f aca="false">-IPMT($B$2/12,28,$B$3*12,$B$1)</f>
        <v>1456.94882267526</v>
      </c>
      <c r="E33" s="5" t="n">
        <f aca="false">-PPMT($B$2/12,28,$B$3*12,$B$1)</f>
        <v>341.702752782997</v>
      </c>
      <c r="F33" s="5" t="n">
        <f aca="false">B33-E33</f>
        <v>291048.061782269</v>
      </c>
    </row>
    <row r="34" customFormat="false" ht="15" hidden="false" customHeight="false" outlineLevel="0" collapsed="false">
      <c r="A34" s="0" t="n">
        <v>29</v>
      </c>
      <c r="B34" s="5" t="n">
        <f aca="false">F33</f>
        <v>291048.061782269</v>
      </c>
      <c r="C34" s="5" t="n">
        <f aca="false">-PMT($B$2/12,$B$3*12,$B$1)</f>
        <v>1798.65157545826</v>
      </c>
      <c r="D34" s="5" t="n">
        <f aca="false">-IPMT($B$2/12,29,$B$3*12,$B$1)</f>
        <v>1455.24030891135</v>
      </c>
      <c r="E34" s="5" t="n">
        <f aca="false">-PPMT($B$2/12,29,$B$3*12,$B$1)</f>
        <v>343.411266546912</v>
      </c>
      <c r="F34" s="5" t="n">
        <f aca="false">B34-E34</f>
        <v>290704.650515722</v>
      </c>
    </row>
    <row r="35" customFormat="false" ht="15" hidden="false" customHeight="false" outlineLevel="0" collapsed="false">
      <c r="A35" s="0" t="n">
        <v>30</v>
      </c>
      <c r="B35" s="5" t="n">
        <f aca="false">F34</f>
        <v>290704.650515722</v>
      </c>
      <c r="C35" s="5" t="n">
        <f aca="false">-PMT($B$2/12,$B$3*12,$B$1)</f>
        <v>1798.65157545826</v>
      </c>
      <c r="D35" s="5" t="n">
        <f aca="false">-IPMT($B$2/12,30,$B$3*12,$B$1)</f>
        <v>1453.52325257861</v>
      </c>
      <c r="E35" s="5" t="n">
        <f aca="false">-PPMT($B$2/12,30,$B$3*12,$B$1)</f>
        <v>345.128322879647</v>
      </c>
      <c r="F35" s="5" t="n">
        <f aca="false">B35-E35</f>
        <v>290359.522192842</v>
      </c>
    </row>
    <row r="36" customFormat="false" ht="15" hidden="false" customHeight="false" outlineLevel="0" collapsed="false">
      <c r="A36" s="0" t="n">
        <v>31</v>
      </c>
      <c r="B36" s="5" t="n">
        <f aca="false">F35</f>
        <v>290359.522192842</v>
      </c>
      <c r="C36" s="5" t="n">
        <f aca="false">-PMT($B$2/12,$B$3*12,$B$1)</f>
        <v>1798.65157545826</v>
      </c>
      <c r="D36" s="5" t="n">
        <f aca="false">-IPMT($B$2/12,31,$B$3*12,$B$1)</f>
        <v>1451.79761096421</v>
      </c>
      <c r="E36" s="5" t="n">
        <f aca="false">-PPMT($B$2/12,31,$B$3*12,$B$1)</f>
        <v>346.853964494045</v>
      </c>
      <c r="F36" s="5" t="n">
        <f aca="false">B36-E36</f>
        <v>290012.668228348</v>
      </c>
    </row>
    <row r="37" customFormat="false" ht="15" hidden="false" customHeight="false" outlineLevel="0" collapsed="false">
      <c r="A37" s="0" t="n">
        <v>32</v>
      </c>
      <c r="B37" s="5" t="n">
        <f aca="false">F36</f>
        <v>290012.668228348</v>
      </c>
      <c r="C37" s="5" t="n">
        <f aca="false">-PMT($B$2/12,$B$3*12,$B$1)</f>
        <v>1798.65157545826</v>
      </c>
      <c r="D37" s="5" t="n">
        <f aca="false">-IPMT($B$2/12,32,$B$3*12,$B$1)</f>
        <v>1450.06334114174</v>
      </c>
      <c r="E37" s="5" t="n">
        <f aca="false">-PPMT($B$2/12,32,$B$3*12,$B$1)</f>
        <v>348.588234316515</v>
      </c>
      <c r="F37" s="5" t="n">
        <f aca="false">B37-E37</f>
        <v>289664.079994032</v>
      </c>
    </row>
    <row r="38" customFormat="false" ht="15" hidden="false" customHeight="false" outlineLevel="0" collapsed="false">
      <c r="A38" s="0" t="n">
        <v>33</v>
      </c>
      <c r="B38" s="5" t="n">
        <f aca="false">F37</f>
        <v>289664.079994032</v>
      </c>
      <c r="C38" s="5" t="n">
        <f aca="false">-PMT($B$2/12,$B$3*12,$B$1)</f>
        <v>1798.65157545826</v>
      </c>
      <c r="D38" s="5" t="n">
        <f aca="false">-IPMT($B$2/12,33,$B$3*12,$B$1)</f>
        <v>1448.32039997016</v>
      </c>
      <c r="E38" s="5" t="n">
        <f aca="false">-PPMT($B$2/12,33,$B$3*12,$B$1)</f>
        <v>350.331175488097</v>
      </c>
      <c r="F38" s="5" t="n">
        <f aca="false">B38-E38</f>
        <v>289313.748818544</v>
      </c>
    </row>
    <row r="39" customFormat="false" ht="15" hidden="false" customHeight="false" outlineLevel="0" collapsed="false">
      <c r="A39" s="0" t="n">
        <v>34</v>
      </c>
      <c r="B39" s="5" t="n">
        <f aca="false">F38</f>
        <v>289313.748818544</v>
      </c>
      <c r="C39" s="5" t="n">
        <f aca="false">-PMT($B$2/12,$B$3*12,$B$1)</f>
        <v>1798.65157545826</v>
      </c>
      <c r="D39" s="5" t="n">
        <f aca="false">-IPMT($B$2/12,34,$B$3*12,$B$1)</f>
        <v>1446.56874409272</v>
      </c>
      <c r="E39" s="5" t="n">
        <f aca="false">-PPMT($B$2/12,34,$B$3*12,$B$1)</f>
        <v>352.082831365538</v>
      </c>
      <c r="F39" s="5" t="n">
        <f aca="false">B39-E39</f>
        <v>288961.665987178</v>
      </c>
    </row>
    <row r="40" customFormat="false" ht="15" hidden="false" customHeight="false" outlineLevel="0" collapsed="false">
      <c r="A40" s="0" t="n">
        <v>35</v>
      </c>
      <c r="B40" s="5" t="n">
        <f aca="false">F39</f>
        <v>288961.665987178</v>
      </c>
      <c r="C40" s="5" t="n">
        <f aca="false">-PMT($B$2/12,$B$3*12,$B$1)</f>
        <v>1798.65157545826</v>
      </c>
      <c r="D40" s="5" t="n">
        <f aca="false">-IPMT($B$2/12,35,$B$3*12,$B$1)</f>
        <v>1444.80832993589</v>
      </c>
      <c r="E40" s="5" t="n">
        <f aca="false">-PPMT($B$2/12,35,$B$3*12,$B$1)</f>
        <v>353.843245522365</v>
      </c>
      <c r="F40" s="5" t="n">
        <f aca="false">B40-E40</f>
        <v>288607.822741656</v>
      </c>
    </row>
    <row r="41" customFormat="false" ht="15" hidden="false" customHeight="false" outlineLevel="0" collapsed="false">
      <c r="A41" s="0" t="n">
        <v>36</v>
      </c>
      <c r="B41" s="5" t="n">
        <f aca="false">F40</f>
        <v>288607.822741656</v>
      </c>
      <c r="C41" s="5" t="n">
        <f aca="false">-PMT($B$2/12,$B$3*12,$B$1)</f>
        <v>1798.65157545826</v>
      </c>
      <c r="D41" s="5" t="n">
        <f aca="false">-IPMT($B$2/12,36,$B$3*12,$B$1)</f>
        <v>1443.03911370828</v>
      </c>
      <c r="E41" s="5" t="n">
        <f aca="false">-PPMT($B$2/12,36,$B$3*12,$B$1)</f>
        <v>355.612461749977</v>
      </c>
      <c r="F41" s="5" t="n">
        <f aca="false">B41-E41</f>
        <v>288252.210279906</v>
      </c>
    </row>
    <row r="42" customFormat="false" ht="15" hidden="false" customHeight="false" outlineLevel="0" collapsed="false">
      <c r="A42" s="0" t="n">
        <v>37</v>
      </c>
      <c r="B42" s="5" t="n">
        <f aca="false">F41</f>
        <v>288252.210279906</v>
      </c>
      <c r="C42" s="5" t="n">
        <f aca="false">-PMT($B$2/12,$B$3*12,$B$1)</f>
        <v>1798.65157545826</v>
      </c>
      <c r="D42" s="5" t="n">
        <f aca="false">-IPMT($B$2/12,37,$B$3*12,$B$1)</f>
        <v>1441.26105139953</v>
      </c>
      <c r="E42" s="5" t="n">
        <f aca="false">-PPMT($B$2/12,37,$B$3*12,$B$1)</f>
        <v>357.390524058727</v>
      </c>
      <c r="F42" s="5" t="n">
        <f aca="false">B42-E42</f>
        <v>287894.819755847</v>
      </c>
    </row>
    <row r="43" customFormat="false" ht="15" hidden="false" customHeight="false" outlineLevel="0" collapsed="false">
      <c r="A43" s="0" t="n">
        <v>38</v>
      </c>
      <c r="B43" s="5" t="n">
        <f aca="false">F42</f>
        <v>287894.819755847</v>
      </c>
      <c r="C43" s="5" t="n">
        <f aca="false">-PMT($B$2/12,$B$3*12,$B$1)</f>
        <v>1798.65157545826</v>
      </c>
      <c r="D43" s="5" t="n">
        <f aca="false">-IPMT($B$2/12,38,$B$3*12,$B$1)</f>
        <v>1439.47409877924</v>
      </c>
      <c r="E43" s="5" t="n">
        <f aca="false">-PPMT($B$2/12,38,$B$3*12,$B$1)</f>
        <v>359.177476679021</v>
      </c>
      <c r="F43" s="5" t="n">
        <f aca="false">B43-E43</f>
        <v>287535.642279168</v>
      </c>
    </row>
    <row r="44" customFormat="false" ht="15" hidden="false" customHeight="false" outlineLevel="0" collapsed="false">
      <c r="A44" s="0" t="n">
        <v>39</v>
      </c>
      <c r="B44" s="5" t="n">
        <f aca="false">F43</f>
        <v>287535.642279168</v>
      </c>
      <c r="C44" s="5" t="n">
        <f aca="false">-PMT($B$2/12,$B$3*12,$B$1)</f>
        <v>1798.65157545826</v>
      </c>
      <c r="D44" s="5" t="n">
        <f aca="false">-IPMT($B$2/12,39,$B$3*12,$B$1)</f>
        <v>1437.67821139584</v>
      </c>
      <c r="E44" s="5" t="n">
        <f aca="false">-PPMT($B$2/12,39,$B$3*12,$B$1)</f>
        <v>360.973364062416</v>
      </c>
      <c r="F44" s="5" t="n">
        <f aca="false">B44-E44</f>
        <v>287174.668915106</v>
      </c>
    </row>
    <row r="45" customFormat="false" ht="15" hidden="false" customHeight="false" outlineLevel="0" collapsed="false">
      <c r="A45" s="0" t="n">
        <v>40</v>
      </c>
      <c r="B45" s="5" t="n">
        <f aca="false">F44</f>
        <v>287174.668915106</v>
      </c>
      <c r="C45" s="5" t="n">
        <f aca="false">-PMT($B$2/12,$B$3*12,$B$1)</f>
        <v>1798.65157545826</v>
      </c>
      <c r="D45" s="5" t="n">
        <f aca="false">-IPMT($B$2/12,40,$B$3*12,$B$1)</f>
        <v>1435.87334457553</v>
      </c>
      <c r="E45" s="5" t="n">
        <f aca="false">-PPMT($B$2/12,40,$B$3*12,$B$1)</f>
        <v>362.778230882728</v>
      </c>
      <c r="F45" s="5" t="n">
        <f aca="false">B45-E45</f>
        <v>286811.890684223</v>
      </c>
    </row>
    <row r="46" customFormat="false" ht="15" hidden="false" customHeight="false" outlineLevel="0" collapsed="false">
      <c r="A46" s="0" t="n">
        <v>41</v>
      </c>
      <c r="B46" s="5" t="n">
        <f aca="false">F45</f>
        <v>286811.890684223</v>
      </c>
      <c r="C46" s="5" t="n">
        <f aca="false">-PMT($B$2/12,$B$3*12,$B$1)</f>
        <v>1798.65157545826</v>
      </c>
      <c r="D46" s="5" t="n">
        <f aca="false">-IPMT($B$2/12,41,$B$3*12,$B$1)</f>
        <v>1434.05945342112</v>
      </c>
      <c r="E46" s="5" t="n">
        <f aca="false">-PPMT($B$2/12,41,$B$3*12,$B$1)</f>
        <v>364.592122037141</v>
      </c>
      <c r="F46" s="5" t="n">
        <f aca="false">B46-E46</f>
        <v>286447.298562186</v>
      </c>
    </row>
    <row r="47" customFormat="false" ht="15" hidden="false" customHeight="false" outlineLevel="0" collapsed="false">
      <c r="A47" s="0" t="n">
        <v>42</v>
      </c>
      <c r="B47" s="5" t="n">
        <f aca="false">F46</f>
        <v>286447.298562186</v>
      </c>
      <c r="C47" s="5" t="n">
        <f aca="false">-PMT($B$2/12,$B$3*12,$B$1)</f>
        <v>1798.65157545826</v>
      </c>
      <c r="D47" s="5" t="n">
        <f aca="false">-IPMT($B$2/12,42,$B$3*12,$B$1)</f>
        <v>1432.23649281093</v>
      </c>
      <c r="E47" s="5" t="n">
        <f aca="false">-PPMT($B$2/12,42,$B$3*12,$B$1)</f>
        <v>366.415082647327</v>
      </c>
      <c r="F47" s="5" t="n">
        <f aca="false">B47-E47</f>
        <v>286080.883479538</v>
      </c>
    </row>
    <row r="48" customFormat="false" ht="15" hidden="false" customHeight="false" outlineLevel="0" collapsed="false">
      <c r="A48" s="0" t="n">
        <v>43</v>
      </c>
      <c r="B48" s="5" t="n">
        <f aca="false">F47</f>
        <v>286080.883479538</v>
      </c>
      <c r="C48" s="5" t="n">
        <f aca="false">-PMT($B$2/12,$B$3*12,$B$1)</f>
        <v>1798.65157545826</v>
      </c>
      <c r="D48" s="5" t="n">
        <f aca="false">-IPMT($B$2/12,43,$B$3*12,$B$1)</f>
        <v>1430.40441739769</v>
      </c>
      <c r="E48" s="5" t="n">
        <f aca="false">-PPMT($B$2/12,43,$B$3*12,$B$1)</f>
        <v>368.247158060564</v>
      </c>
      <c r="F48" s="5" t="n">
        <f aca="false">B48-E48</f>
        <v>285712.636321478</v>
      </c>
    </row>
    <row r="49" customFormat="false" ht="15" hidden="false" customHeight="false" outlineLevel="0" collapsed="false">
      <c r="A49" s="0" t="n">
        <v>44</v>
      </c>
      <c r="B49" s="5" t="n">
        <f aca="false">F48</f>
        <v>285712.636321478</v>
      </c>
      <c r="C49" s="5" t="n">
        <f aca="false">-PMT($B$2/12,$B$3*12,$B$1)</f>
        <v>1798.65157545826</v>
      </c>
      <c r="D49" s="5" t="n">
        <f aca="false">-IPMT($B$2/12,44,$B$3*12,$B$1)</f>
        <v>1428.56318160739</v>
      </c>
      <c r="E49" s="5" t="n">
        <f aca="false">-PPMT($B$2/12,44,$B$3*12,$B$1)</f>
        <v>370.088393850867</v>
      </c>
      <c r="F49" s="5" t="n">
        <f aca="false">B49-E49</f>
        <v>285342.547927627</v>
      </c>
    </row>
    <row r="50" customFormat="false" ht="15" hidden="false" customHeight="false" outlineLevel="0" collapsed="false">
      <c r="A50" s="0" t="n">
        <v>45</v>
      </c>
      <c r="B50" s="5" t="n">
        <f aca="false">F49</f>
        <v>285342.547927627</v>
      </c>
      <c r="C50" s="5" t="n">
        <f aca="false">-PMT($B$2/12,$B$3*12,$B$1)</f>
        <v>1798.65157545826</v>
      </c>
      <c r="D50" s="5" t="n">
        <f aca="false">-IPMT($B$2/12,45,$B$3*12,$B$1)</f>
        <v>1426.71273963814</v>
      </c>
      <c r="E50" s="5" t="n">
        <f aca="false">-PPMT($B$2/12,45,$B$3*12,$B$1)</f>
        <v>371.938835820121</v>
      </c>
      <c r="F50" s="5" t="n">
        <f aca="false">B50-E50</f>
        <v>284970.609091807</v>
      </c>
    </row>
    <row r="51" customFormat="false" ht="15" hidden="false" customHeight="false" outlineLevel="0" collapsed="false">
      <c r="A51" s="0" t="n">
        <v>46</v>
      </c>
      <c r="B51" s="5" t="n">
        <f aca="false">F50</f>
        <v>284970.609091807</v>
      </c>
      <c r="C51" s="5" t="n">
        <f aca="false">-PMT($B$2/12,$B$3*12,$B$1)</f>
        <v>1798.65157545826</v>
      </c>
      <c r="D51" s="5" t="n">
        <f aca="false">-IPMT($B$2/12,46,$B$3*12,$B$1)</f>
        <v>1424.85304545904</v>
      </c>
      <c r="E51" s="5" t="n">
        <f aca="false">-PPMT($B$2/12,46,$B$3*12,$B$1)</f>
        <v>373.798529999221</v>
      </c>
      <c r="F51" s="5" t="n">
        <f aca="false">B51-E51</f>
        <v>284596.810561808</v>
      </c>
    </row>
    <row r="52" customFormat="false" ht="15" hidden="false" customHeight="false" outlineLevel="0" collapsed="false">
      <c r="A52" s="0" t="n">
        <v>47</v>
      </c>
      <c r="B52" s="5" t="n">
        <f aca="false">F51</f>
        <v>284596.810561808</v>
      </c>
      <c r="C52" s="5" t="n">
        <f aca="false">-PMT($B$2/12,$B$3*12,$B$1)</f>
        <v>1798.65157545826</v>
      </c>
      <c r="D52" s="5" t="n">
        <f aca="false">-IPMT($B$2/12,47,$B$3*12,$B$1)</f>
        <v>1422.98405280904</v>
      </c>
      <c r="E52" s="5" t="n">
        <f aca="false">-PPMT($B$2/12,47,$B$3*12,$B$1)</f>
        <v>375.667522649217</v>
      </c>
      <c r="F52" s="5" t="n">
        <f aca="false">B52-E52</f>
        <v>284221.143039158</v>
      </c>
    </row>
    <row r="53" customFormat="false" ht="15" hidden="false" customHeight="false" outlineLevel="0" collapsed="false">
      <c r="A53" s="0" t="n">
        <v>48</v>
      </c>
      <c r="B53" s="5" t="n">
        <f aca="false">F52</f>
        <v>284221.143039158</v>
      </c>
      <c r="C53" s="5" t="n">
        <f aca="false">-PMT($B$2/12,$B$3*12,$B$1)</f>
        <v>1798.65157545826</v>
      </c>
      <c r="D53" s="5" t="n">
        <f aca="false">-IPMT($B$2/12,48,$B$3*12,$B$1)</f>
        <v>1421.10571519579</v>
      </c>
      <c r="E53" s="5" t="n">
        <f aca="false">-PPMT($B$2/12,48,$B$3*12,$B$1)</f>
        <v>377.545860262464</v>
      </c>
      <c r="F53" s="5" t="n">
        <f aca="false">B53-E53</f>
        <v>283843.597178896</v>
      </c>
    </row>
    <row r="54" customFormat="false" ht="15" hidden="false" customHeight="false" outlineLevel="0" collapsed="false">
      <c r="A54" s="0" t="n">
        <v>49</v>
      </c>
      <c r="B54" s="5" t="n">
        <f aca="false">F53</f>
        <v>283843.597178896</v>
      </c>
      <c r="C54" s="5" t="n">
        <f aca="false">-PMT($B$2/12,$B$3*12,$B$1)</f>
        <v>1798.65157545826</v>
      </c>
      <c r="D54" s="5" t="n">
        <f aca="false">-IPMT($B$2/12,49,$B$3*12,$B$1)</f>
        <v>1419.21798589448</v>
      </c>
      <c r="E54" s="5" t="n">
        <f aca="false">-PPMT($B$2/12,49,$B$3*12,$B$1)</f>
        <v>379.433589563776</v>
      </c>
      <c r="F54" s="5" t="n">
        <f aca="false">B54-E54</f>
        <v>283464.163589332</v>
      </c>
    </row>
    <row r="55" customFormat="false" ht="15" hidden="false" customHeight="false" outlineLevel="0" collapsed="false">
      <c r="A55" s="0" t="n">
        <v>50</v>
      </c>
      <c r="B55" s="5" t="n">
        <f aca="false">F54</f>
        <v>283464.163589332</v>
      </c>
      <c r="C55" s="5" t="n">
        <f aca="false">-PMT($B$2/12,$B$3*12,$B$1)</f>
        <v>1798.65157545826</v>
      </c>
      <c r="D55" s="5" t="n">
        <f aca="false">-IPMT($B$2/12,50,$B$3*12,$B$1)</f>
        <v>1417.32081794666</v>
      </c>
      <c r="E55" s="5" t="n">
        <f aca="false">-PPMT($B$2/12,50,$B$3*12,$B$1)</f>
        <v>381.330757511595</v>
      </c>
      <c r="F55" s="5" t="n">
        <f aca="false">B55-E55</f>
        <v>283082.832831821</v>
      </c>
    </row>
    <row r="56" customFormat="false" ht="15" hidden="false" customHeight="false" outlineLevel="0" collapsed="false">
      <c r="A56" s="0" t="n">
        <v>51</v>
      </c>
      <c r="B56" s="5" t="n">
        <f aca="false">F55</f>
        <v>283082.832831821</v>
      </c>
      <c r="C56" s="5" t="n">
        <f aca="false">-PMT($B$2/12,$B$3*12,$B$1)</f>
        <v>1798.65157545826</v>
      </c>
      <c r="D56" s="5" t="n">
        <f aca="false">-IPMT($B$2/12,51,$B$3*12,$B$1)</f>
        <v>1415.41416415911</v>
      </c>
      <c r="E56" s="5" t="n">
        <f aca="false">-PPMT($B$2/12,51,$B$3*12,$B$1)</f>
        <v>383.237411299152</v>
      </c>
      <c r="F56" s="5" t="n">
        <f aca="false">B56-E56</f>
        <v>282699.595420521</v>
      </c>
    </row>
    <row r="57" customFormat="false" ht="15" hidden="false" customHeight="false" outlineLevel="0" collapsed="false">
      <c r="A57" s="0" t="n">
        <v>52</v>
      </c>
      <c r="B57" s="5" t="n">
        <f aca="false">F56</f>
        <v>282699.595420521</v>
      </c>
      <c r="C57" s="5" t="n">
        <f aca="false">-PMT($B$2/12,$B$3*12,$B$1)</f>
        <v>1798.65157545826</v>
      </c>
      <c r="D57" s="5" t="n">
        <f aca="false">-IPMT($B$2/12,52,$B$3*12,$B$1)</f>
        <v>1413.49797710261</v>
      </c>
      <c r="E57" s="5" t="n">
        <f aca="false">-PPMT($B$2/12,52,$B$3*12,$B$1)</f>
        <v>385.153598355648</v>
      </c>
      <c r="F57" s="5" t="n">
        <f aca="false">B57-E57</f>
        <v>282314.441822166</v>
      </c>
    </row>
    <row r="58" customFormat="false" ht="15" hidden="false" customHeight="false" outlineLevel="0" collapsed="false">
      <c r="A58" s="0" t="n">
        <v>53</v>
      </c>
      <c r="B58" s="5" t="n">
        <f aca="false">F57</f>
        <v>282314.441822166</v>
      </c>
      <c r="C58" s="5" t="n">
        <f aca="false">-PMT($B$2/12,$B$3*12,$B$1)</f>
        <v>1798.65157545826</v>
      </c>
      <c r="D58" s="5" t="n">
        <f aca="false">-IPMT($B$2/12,53,$B$3*12,$B$1)</f>
        <v>1411.57220911083</v>
      </c>
      <c r="E58" s="5" t="n">
        <f aca="false">-PPMT($B$2/12,53,$B$3*12,$B$1)</f>
        <v>387.079366347426</v>
      </c>
      <c r="F58" s="5" t="n">
        <f aca="false">B58-E58</f>
        <v>281927.362455818</v>
      </c>
    </row>
    <row r="59" customFormat="false" ht="15" hidden="false" customHeight="false" outlineLevel="0" collapsed="false">
      <c r="A59" s="0" t="n">
        <v>54</v>
      </c>
      <c r="B59" s="5" t="n">
        <f aca="false">F58</f>
        <v>281927.362455818</v>
      </c>
      <c r="C59" s="5" t="n">
        <f aca="false">-PMT($B$2/12,$B$3*12,$B$1)</f>
        <v>1798.65157545826</v>
      </c>
      <c r="D59" s="5" t="n">
        <f aca="false">-IPMT($B$2/12,54,$B$3*12,$B$1)</f>
        <v>1409.63681227909</v>
      </c>
      <c r="E59" s="5" t="n">
        <f aca="false">-PPMT($B$2/12,54,$B$3*12,$B$1)</f>
        <v>389.014763179163</v>
      </c>
      <c r="F59" s="5" t="n">
        <f aca="false">B59-E59</f>
        <v>281538.347692639</v>
      </c>
    </row>
    <row r="60" customFormat="false" ht="15" hidden="false" customHeight="false" outlineLevel="0" collapsed="false">
      <c r="A60" s="0" t="n">
        <v>55</v>
      </c>
      <c r="B60" s="5" t="n">
        <f aca="false">F59</f>
        <v>281538.347692639</v>
      </c>
      <c r="C60" s="5" t="n">
        <f aca="false">-PMT($B$2/12,$B$3*12,$B$1)</f>
        <v>1798.65157545826</v>
      </c>
      <c r="D60" s="5" t="n">
        <f aca="false">-IPMT($B$2/12,55,$B$3*12,$B$1)</f>
        <v>1407.6917384632</v>
      </c>
      <c r="E60" s="5" t="n">
        <f aca="false">-PPMT($B$2/12,55,$B$3*12,$B$1)</f>
        <v>390.959836995059</v>
      </c>
      <c r="F60" s="5" t="n">
        <f aca="false">B60-E60</f>
        <v>281147.387855644</v>
      </c>
    </row>
    <row r="61" customFormat="false" ht="15" hidden="false" customHeight="false" outlineLevel="0" collapsed="false">
      <c r="A61" s="0" t="n">
        <v>56</v>
      </c>
      <c r="B61" s="5" t="n">
        <f aca="false">F60</f>
        <v>281147.387855644</v>
      </c>
      <c r="C61" s="5" t="n">
        <f aca="false">-PMT($B$2/12,$B$3*12,$B$1)</f>
        <v>1798.65157545826</v>
      </c>
      <c r="D61" s="5" t="n">
        <f aca="false">-IPMT($B$2/12,56,$B$3*12,$B$1)</f>
        <v>1405.73693927822</v>
      </c>
      <c r="E61" s="5" t="n">
        <f aca="false">-PPMT($B$2/12,56,$B$3*12,$B$1)</f>
        <v>392.914636180034</v>
      </c>
      <c r="F61" s="5" t="n">
        <f aca="false">B61-E61</f>
        <v>280754.473219464</v>
      </c>
    </row>
    <row r="62" customFormat="false" ht="15" hidden="false" customHeight="false" outlineLevel="0" collapsed="false">
      <c r="A62" s="0" t="n">
        <v>57</v>
      </c>
      <c r="B62" s="5" t="n">
        <f aca="false">F61</f>
        <v>280754.473219464</v>
      </c>
      <c r="C62" s="5" t="n">
        <f aca="false">-PMT($B$2/12,$B$3*12,$B$1)</f>
        <v>1798.65157545826</v>
      </c>
      <c r="D62" s="5" t="n">
        <f aca="false">-IPMT($B$2/12,57,$B$3*12,$B$1)</f>
        <v>1403.77236609732</v>
      </c>
      <c r="E62" s="5" t="n">
        <f aca="false">-PPMT($B$2/12,57,$B$3*12,$B$1)</f>
        <v>394.879209360935</v>
      </c>
      <c r="F62" s="5" t="n">
        <f aca="false">B62-E62</f>
        <v>280359.594010103</v>
      </c>
    </row>
    <row r="63" customFormat="false" ht="15" hidden="false" customHeight="false" outlineLevel="0" collapsed="false">
      <c r="A63" s="0" t="n">
        <v>58</v>
      </c>
      <c r="B63" s="5" t="n">
        <f aca="false">F62</f>
        <v>280359.594010103</v>
      </c>
      <c r="C63" s="5" t="n">
        <f aca="false">-PMT($B$2/12,$B$3*12,$B$1)</f>
        <v>1798.65157545826</v>
      </c>
      <c r="D63" s="5" t="n">
        <f aca="false">-IPMT($B$2/12,58,$B$3*12,$B$1)</f>
        <v>1401.79797005052</v>
      </c>
      <c r="E63" s="5" t="n">
        <f aca="false">-PPMT($B$2/12,58,$B$3*12,$B$1)</f>
        <v>396.853605407739</v>
      </c>
      <c r="F63" s="5" t="n">
        <f aca="false">B63-E63</f>
        <v>279962.740404695</v>
      </c>
    </row>
    <row r="64" customFormat="false" ht="15" hidden="false" customHeight="false" outlineLevel="0" collapsed="false">
      <c r="A64" s="0" t="n">
        <v>59</v>
      </c>
      <c r="B64" s="5" t="n">
        <f aca="false">F63</f>
        <v>279962.740404695</v>
      </c>
      <c r="C64" s="5" t="n">
        <f aca="false">-PMT($B$2/12,$B$3*12,$B$1)</f>
        <v>1798.65157545826</v>
      </c>
      <c r="D64" s="5" t="n">
        <f aca="false">-IPMT($B$2/12,59,$B$3*12,$B$1)</f>
        <v>1399.81370202348</v>
      </c>
      <c r="E64" s="5" t="n">
        <f aca="false">-PPMT($B$2/12,59,$B$3*12,$B$1)</f>
        <v>398.837873434778</v>
      </c>
      <c r="F64" s="5" t="n">
        <f aca="false">B64-E64</f>
        <v>279563.902531261</v>
      </c>
    </row>
    <row r="65" customFormat="false" ht="15" hidden="false" customHeight="false" outlineLevel="0" collapsed="false">
      <c r="A65" s="0" t="n">
        <v>60</v>
      </c>
      <c r="B65" s="5" t="n">
        <f aca="false">F64</f>
        <v>279563.902531261</v>
      </c>
      <c r="C65" s="5" t="n">
        <f aca="false">-PMT($B$2/12,$B$3*12,$B$1)</f>
        <v>1798.65157545826</v>
      </c>
      <c r="D65" s="5" t="n">
        <f aca="false">-IPMT($B$2/12,60,$B$3*12,$B$1)</f>
        <v>1397.81951265631</v>
      </c>
      <c r="E65" s="5" t="n">
        <f aca="false">-PPMT($B$2/12,60,$B$3*12,$B$1)</f>
        <v>400.832062801952</v>
      </c>
      <c r="F65" s="5" t="n">
        <f aca="false">B65-E65</f>
        <v>279163.070468459</v>
      </c>
    </row>
    <row r="66" customFormat="false" ht="15" hidden="false" customHeight="false" outlineLevel="0" collapsed="false">
      <c r="A66" s="0" t="n">
        <v>61</v>
      </c>
      <c r="B66" s="5" t="n">
        <f aca="false">F65</f>
        <v>279163.070468459</v>
      </c>
      <c r="C66" s="5" t="n">
        <f aca="false">-PMT($B$2/12,$B$3*12,$B$1)</f>
        <v>1798.65157545826</v>
      </c>
      <c r="D66" s="5" t="n">
        <f aca="false">-IPMT($B$2/12,61,$B$3*12,$B$1)</f>
        <v>1395.8153523423</v>
      </c>
      <c r="E66" s="5" t="n">
        <f aca="false">-PPMT($B$2/12,61,$B$3*12,$B$1)</f>
        <v>402.836223115962</v>
      </c>
      <c r="F66" s="5" t="n">
        <f aca="false">B66-E66</f>
        <v>278760.234245343</v>
      </c>
    </row>
    <row r="67" customFormat="false" ht="15" hidden="false" customHeight="false" outlineLevel="0" collapsed="false">
      <c r="A67" s="0" t="n">
        <v>62</v>
      </c>
      <c r="B67" s="5" t="n">
        <f aca="false">F66</f>
        <v>278760.234245343</v>
      </c>
      <c r="C67" s="5" t="n">
        <f aca="false">-PMT($B$2/12,$B$3*12,$B$1)</f>
        <v>1798.65157545826</v>
      </c>
      <c r="D67" s="5" t="n">
        <f aca="false">-IPMT($B$2/12,62,$B$3*12,$B$1)</f>
        <v>1393.80117122672</v>
      </c>
      <c r="E67" s="5" t="n">
        <f aca="false">-PPMT($B$2/12,62,$B$3*12,$B$1)</f>
        <v>404.850404231541</v>
      </c>
      <c r="F67" s="5" t="n">
        <f aca="false">B67-E67</f>
        <v>278355.383841111</v>
      </c>
    </row>
    <row r="68" customFormat="false" ht="15" hidden="false" customHeight="false" outlineLevel="0" collapsed="false">
      <c r="A68" s="0" t="n">
        <v>63</v>
      </c>
      <c r="B68" s="5" t="n">
        <f aca="false">F67</f>
        <v>278355.383841111</v>
      </c>
      <c r="C68" s="5" t="n">
        <f aca="false">-PMT($B$2/12,$B$3*12,$B$1)</f>
        <v>1798.65157545826</v>
      </c>
      <c r="D68" s="5" t="n">
        <f aca="false">-IPMT($B$2/12,63,$B$3*12,$B$1)</f>
        <v>1391.77691920556</v>
      </c>
      <c r="E68" s="5" t="n">
        <f aca="false">-PPMT($B$2/12,63,$B$3*12,$B$1)</f>
        <v>406.874656252699</v>
      </c>
      <c r="F68" s="5" t="n">
        <f aca="false">B68-E68</f>
        <v>277948.509184859</v>
      </c>
    </row>
    <row r="69" customFormat="false" ht="15" hidden="false" customHeight="false" outlineLevel="0" collapsed="false">
      <c r="A69" s="0" t="n">
        <v>64</v>
      </c>
      <c r="B69" s="5" t="n">
        <f aca="false">F68</f>
        <v>277948.509184859</v>
      </c>
      <c r="C69" s="5" t="n">
        <f aca="false">-PMT($B$2/12,$B$3*12,$B$1)</f>
        <v>1798.65157545826</v>
      </c>
      <c r="D69" s="5" t="n">
        <f aca="false">-IPMT($B$2/12,64,$B$3*12,$B$1)</f>
        <v>1389.7425459243</v>
      </c>
      <c r="E69" s="5" t="n">
        <f aca="false">-PPMT($B$2/12,64,$B$3*12,$B$1)</f>
        <v>408.909029533962</v>
      </c>
      <c r="F69" s="5" t="n">
        <f aca="false">B69-E69</f>
        <v>277539.600155325</v>
      </c>
    </row>
    <row r="70" customFormat="false" ht="15" hidden="false" customHeight="false" outlineLevel="0" collapsed="false">
      <c r="A70" s="0" t="n">
        <v>65</v>
      </c>
      <c r="B70" s="5" t="n">
        <f aca="false">F69</f>
        <v>277539.600155325</v>
      </c>
      <c r="C70" s="5" t="n">
        <f aca="false">-PMT($B$2/12,$B$3*12,$B$1)</f>
        <v>1798.65157545826</v>
      </c>
      <c r="D70" s="5" t="n">
        <f aca="false">-IPMT($B$2/12,65,$B$3*12,$B$1)</f>
        <v>1387.69800077663</v>
      </c>
      <c r="E70" s="5" t="n">
        <f aca="false">-PPMT($B$2/12,65,$B$3*12,$B$1)</f>
        <v>410.953574681632</v>
      </c>
      <c r="F70" s="5" t="n">
        <f aca="false">B70-E70</f>
        <v>277128.646580643</v>
      </c>
    </row>
    <row r="71" customFormat="false" ht="15" hidden="false" customHeight="false" outlineLevel="0" collapsed="false">
      <c r="A71" s="0" t="n">
        <v>66</v>
      </c>
      <c r="B71" s="5" t="n">
        <f aca="false">F70</f>
        <v>277128.646580643</v>
      </c>
      <c r="C71" s="5" t="n">
        <f aca="false">-PMT($B$2/12,$B$3*12,$B$1)</f>
        <v>1798.65157545826</v>
      </c>
      <c r="D71" s="5" t="n">
        <f aca="false">-IPMT($B$2/12,66,$B$3*12,$B$1)</f>
        <v>1385.64323290322</v>
      </c>
      <c r="E71" s="5" t="n">
        <f aca="false">-PPMT($B$2/12,66,$B$3*12,$B$1)</f>
        <v>413.00834255504</v>
      </c>
      <c r="F71" s="5" t="n">
        <f aca="false">B71-E71</f>
        <v>276715.638238088</v>
      </c>
    </row>
    <row r="72" customFormat="false" ht="15" hidden="false" customHeight="false" outlineLevel="0" collapsed="false">
      <c r="A72" s="0" t="n">
        <v>67</v>
      </c>
      <c r="B72" s="5" t="n">
        <f aca="false">F71</f>
        <v>276715.638238088</v>
      </c>
      <c r="C72" s="5" t="n">
        <f aca="false">-PMT($B$2/12,$B$3*12,$B$1)</f>
        <v>1798.65157545826</v>
      </c>
      <c r="D72" s="5" t="n">
        <f aca="false">-IPMT($B$2/12,67,$B$3*12,$B$1)</f>
        <v>1383.57819119044</v>
      </c>
      <c r="E72" s="5" t="n">
        <f aca="false">-PPMT($B$2/12,67,$B$3*12,$B$1)</f>
        <v>415.073384267815</v>
      </c>
      <c r="F72" s="5" t="n">
        <f aca="false">B72-E72</f>
        <v>276300.56485382</v>
      </c>
    </row>
    <row r="73" customFormat="false" ht="15" hidden="false" customHeight="false" outlineLevel="0" collapsed="false">
      <c r="A73" s="0" t="n">
        <v>68</v>
      </c>
      <c r="B73" s="5" t="n">
        <f aca="false">F72</f>
        <v>276300.56485382</v>
      </c>
      <c r="C73" s="5" t="n">
        <f aca="false">-PMT($B$2/12,$B$3*12,$B$1)</f>
        <v>1798.65157545826</v>
      </c>
      <c r="D73" s="5" t="n">
        <f aca="false">-IPMT($B$2/12,68,$B$3*12,$B$1)</f>
        <v>1381.5028242691</v>
      </c>
      <c r="E73" s="5" t="n">
        <f aca="false">-PPMT($B$2/12,68,$B$3*12,$B$1)</f>
        <v>417.148751189154</v>
      </c>
      <c r="F73" s="5" t="n">
        <f aca="false">B73-E73</f>
        <v>275883.416102631</v>
      </c>
    </row>
    <row r="74" customFormat="false" ht="15" hidden="false" customHeight="false" outlineLevel="0" collapsed="false">
      <c r="A74" s="0" t="n">
        <v>69</v>
      </c>
      <c r="B74" s="5" t="n">
        <f aca="false">F73</f>
        <v>275883.416102631</v>
      </c>
      <c r="C74" s="5" t="n">
        <f aca="false">-PMT($B$2/12,$B$3*12,$B$1)</f>
        <v>1798.65157545826</v>
      </c>
      <c r="D74" s="5" t="n">
        <f aca="false">-IPMT($B$2/12,69,$B$3*12,$B$1)</f>
        <v>1379.41708051316</v>
      </c>
      <c r="E74" s="5" t="n">
        <f aca="false">-PPMT($B$2/12,69,$B$3*12,$B$1)</f>
        <v>419.2344949451</v>
      </c>
      <c r="F74" s="5" t="n">
        <f aca="false">B74-E74</f>
        <v>275464.181607686</v>
      </c>
    </row>
    <row r="75" customFormat="false" ht="15" hidden="false" customHeight="false" outlineLevel="0" collapsed="false">
      <c r="A75" s="0" t="n">
        <v>70</v>
      </c>
      <c r="B75" s="5" t="n">
        <f aca="false">F74</f>
        <v>275464.181607686</v>
      </c>
      <c r="C75" s="5" t="n">
        <f aca="false">-PMT($B$2/12,$B$3*12,$B$1)</f>
        <v>1798.65157545826</v>
      </c>
      <c r="D75" s="5" t="n">
        <f aca="false">-IPMT($B$2/12,70,$B$3*12,$B$1)</f>
        <v>1377.32090803843</v>
      </c>
      <c r="E75" s="5" t="n">
        <f aca="false">-PPMT($B$2/12,70,$B$3*12,$B$1)</f>
        <v>421.330667419826</v>
      </c>
      <c r="F75" s="5" t="n">
        <f aca="false">B75-E75</f>
        <v>275042.850940266</v>
      </c>
    </row>
    <row r="76" customFormat="false" ht="15" hidden="false" customHeight="false" outlineLevel="0" collapsed="false">
      <c r="A76" s="0" t="n">
        <v>71</v>
      </c>
      <c r="B76" s="5" t="n">
        <f aca="false">F75</f>
        <v>275042.850940266</v>
      </c>
      <c r="C76" s="5" t="n">
        <f aca="false">-PMT($B$2/12,$B$3*12,$B$1)</f>
        <v>1798.65157545826</v>
      </c>
      <c r="D76" s="5" t="n">
        <f aca="false">-IPMT($B$2/12,71,$B$3*12,$B$1)</f>
        <v>1375.21425470133</v>
      </c>
      <c r="E76" s="5" t="n">
        <f aca="false">-PPMT($B$2/12,71,$B$3*12,$B$1)</f>
        <v>423.437320756925</v>
      </c>
      <c r="F76" s="5" t="n">
        <f aca="false">B76-E76</f>
        <v>274619.413619509</v>
      </c>
    </row>
    <row r="77" customFormat="false" ht="15" hidden="false" customHeight="false" outlineLevel="0" collapsed="false">
      <c r="A77" s="0" t="n">
        <v>72</v>
      </c>
      <c r="B77" s="5" t="n">
        <f aca="false">F76</f>
        <v>274619.413619509</v>
      </c>
      <c r="C77" s="5" t="n">
        <f aca="false">-PMT($B$2/12,$B$3*12,$B$1)</f>
        <v>1798.65157545826</v>
      </c>
      <c r="D77" s="5" t="n">
        <f aca="false">-IPMT($B$2/12,72,$B$3*12,$B$1)</f>
        <v>1373.09706809755</v>
      </c>
      <c r="E77" s="5" t="n">
        <f aca="false">-PPMT($B$2/12,72,$B$3*12,$B$1)</f>
        <v>425.554507360709</v>
      </c>
      <c r="F77" s="5" t="n">
        <f aca="false">B77-E77</f>
        <v>274193.859112148</v>
      </c>
    </row>
    <row r="78" customFormat="false" ht="15" hidden="false" customHeight="false" outlineLevel="0" collapsed="false">
      <c r="A78" s="0" t="n">
        <v>73</v>
      </c>
      <c r="B78" s="5" t="n">
        <f aca="false">F77</f>
        <v>274193.859112148</v>
      </c>
      <c r="C78" s="5" t="n">
        <f aca="false">-PMT($B$2/12,$B$3*12,$B$1)</f>
        <v>1798.65157545826</v>
      </c>
      <c r="D78" s="5" t="n">
        <f aca="false">-IPMT($B$2/12,73,$B$3*12,$B$1)</f>
        <v>1370.96929556074</v>
      </c>
      <c r="E78" s="5" t="n">
        <f aca="false">-PPMT($B$2/12,73,$B$3*12,$B$1)</f>
        <v>427.682279897513</v>
      </c>
      <c r="F78" s="5" t="n">
        <f aca="false">B78-E78</f>
        <v>273766.176832251</v>
      </c>
    </row>
    <row r="79" customFormat="false" ht="15" hidden="false" customHeight="false" outlineLevel="0" collapsed="false">
      <c r="A79" s="0" t="n">
        <v>74</v>
      </c>
      <c r="B79" s="5" t="n">
        <f aca="false">F78</f>
        <v>273766.176832251</v>
      </c>
      <c r="C79" s="5" t="n">
        <f aca="false">-PMT($B$2/12,$B$3*12,$B$1)</f>
        <v>1798.65157545826</v>
      </c>
      <c r="D79" s="5" t="n">
        <f aca="false">-IPMT($B$2/12,74,$B$3*12,$B$1)</f>
        <v>1368.83088416126</v>
      </c>
      <c r="E79" s="5" t="n">
        <f aca="false">-PPMT($B$2/12,74,$B$3*12,$B$1)</f>
        <v>429.820691297</v>
      </c>
      <c r="F79" s="5" t="n">
        <f aca="false">B79-E79</f>
        <v>273336.356140954</v>
      </c>
    </row>
    <row r="80" customFormat="false" ht="15" hidden="false" customHeight="false" outlineLevel="0" collapsed="false">
      <c r="A80" s="0" t="n">
        <v>75</v>
      </c>
      <c r="B80" s="5" t="n">
        <f aca="false">F79</f>
        <v>273336.356140954</v>
      </c>
      <c r="C80" s="5" t="n">
        <f aca="false">-PMT($B$2/12,$B$3*12,$B$1)</f>
        <v>1798.65157545826</v>
      </c>
      <c r="D80" s="5" t="n">
        <f aca="false">-IPMT($B$2/12,75,$B$3*12,$B$1)</f>
        <v>1366.68178070477</v>
      </c>
      <c r="E80" s="5" t="n">
        <f aca="false">-PPMT($B$2/12,75,$B$3*12,$B$1)</f>
        <v>431.969794753485</v>
      </c>
      <c r="F80" s="5" t="n">
        <f aca="false">B80-E80</f>
        <v>272904.3863462</v>
      </c>
    </row>
    <row r="81" customFormat="false" ht="15" hidden="false" customHeight="false" outlineLevel="0" collapsed="false">
      <c r="A81" s="0" t="n">
        <v>76</v>
      </c>
      <c r="B81" s="5" t="n">
        <f aca="false">F80</f>
        <v>272904.3863462</v>
      </c>
      <c r="C81" s="5" t="n">
        <f aca="false">-PMT($B$2/12,$B$3*12,$B$1)</f>
        <v>1798.65157545826</v>
      </c>
      <c r="D81" s="5" t="n">
        <f aca="false">-IPMT($B$2/12,76,$B$3*12,$B$1)</f>
        <v>1364.521931731</v>
      </c>
      <c r="E81" s="5" t="n">
        <f aca="false">-PPMT($B$2/12,76,$B$3*12,$B$1)</f>
        <v>434.129643727253</v>
      </c>
      <c r="F81" s="5" t="n">
        <f aca="false">B81-E81</f>
        <v>272470.256702473</v>
      </c>
    </row>
    <row r="82" customFormat="false" ht="15" hidden="false" customHeight="false" outlineLevel="0" collapsed="false">
      <c r="A82" s="0" t="n">
        <v>77</v>
      </c>
      <c r="B82" s="5" t="n">
        <f aca="false">F81</f>
        <v>272470.256702473</v>
      </c>
      <c r="C82" s="5" t="n">
        <f aca="false">-PMT($B$2/12,$B$3*12,$B$1)</f>
        <v>1798.65157545826</v>
      </c>
      <c r="D82" s="5" t="n">
        <f aca="false">-IPMT($B$2/12,77,$B$3*12,$B$1)</f>
        <v>1362.35128351237</v>
      </c>
      <c r="E82" s="5" t="n">
        <f aca="false">-PPMT($B$2/12,77,$B$3*12,$B$1)</f>
        <v>436.300291945889</v>
      </c>
      <c r="F82" s="5" t="n">
        <f aca="false">B82-E82</f>
        <v>272033.956410527</v>
      </c>
    </row>
    <row r="83" customFormat="false" ht="15" hidden="false" customHeight="false" outlineLevel="0" collapsed="false">
      <c r="A83" s="0" t="n">
        <v>78</v>
      </c>
      <c r="B83" s="5" t="n">
        <f aca="false">F82</f>
        <v>272033.956410527</v>
      </c>
      <c r="C83" s="5" t="n">
        <f aca="false">-PMT($B$2/12,$B$3*12,$B$1)</f>
        <v>1798.65157545826</v>
      </c>
      <c r="D83" s="5" t="n">
        <f aca="false">-IPMT($B$2/12,78,$B$3*12,$B$1)</f>
        <v>1360.16978205264</v>
      </c>
      <c r="E83" s="5" t="n">
        <f aca="false">-PPMT($B$2/12,78,$B$3*12,$B$1)</f>
        <v>438.481793405618</v>
      </c>
      <c r="F83" s="5" t="n">
        <f aca="false">B83-E83</f>
        <v>271595.474617122</v>
      </c>
    </row>
    <row r="84" customFormat="false" ht="15" hidden="false" customHeight="false" outlineLevel="0" collapsed="false">
      <c r="A84" s="0" t="n">
        <v>79</v>
      </c>
      <c r="B84" s="5" t="n">
        <f aca="false">F83</f>
        <v>271595.474617122</v>
      </c>
      <c r="C84" s="5" t="n">
        <f aca="false">-PMT($B$2/12,$B$3*12,$B$1)</f>
        <v>1798.65157545826</v>
      </c>
      <c r="D84" s="5" t="n">
        <f aca="false">-IPMT($B$2/12,79,$B$3*12,$B$1)</f>
        <v>1357.97737308561</v>
      </c>
      <c r="E84" s="5" t="n">
        <f aca="false">-PPMT($B$2/12,79,$B$3*12,$B$1)</f>
        <v>440.674202372646</v>
      </c>
      <c r="F84" s="5" t="n">
        <f aca="false">B84-E84</f>
        <v>271154.800414749</v>
      </c>
    </row>
    <row r="85" customFormat="false" ht="15" hidden="false" customHeight="false" outlineLevel="0" collapsed="false">
      <c r="A85" s="0" t="n">
        <v>80</v>
      </c>
      <c r="B85" s="5" t="n">
        <f aca="false">F84</f>
        <v>271154.800414749</v>
      </c>
      <c r="C85" s="5" t="n">
        <f aca="false">-PMT($B$2/12,$B$3*12,$B$1)</f>
        <v>1798.65157545826</v>
      </c>
      <c r="D85" s="5" t="n">
        <f aca="false">-IPMT($B$2/12,80,$B$3*12,$B$1)</f>
        <v>1355.77400207375</v>
      </c>
      <c r="E85" s="5" t="n">
        <f aca="false">-PPMT($B$2/12,80,$B$3*12,$B$1)</f>
        <v>442.877573384509</v>
      </c>
      <c r="F85" s="5" t="n">
        <f aca="false">B85-E85</f>
        <v>270711.922841364</v>
      </c>
    </row>
    <row r="86" customFormat="false" ht="15" hidden="false" customHeight="false" outlineLevel="0" collapsed="false">
      <c r="A86" s="0" t="n">
        <v>81</v>
      </c>
      <c r="B86" s="5" t="n">
        <f aca="false">F85</f>
        <v>270711.922841364</v>
      </c>
      <c r="C86" s="5" t="n">
        <f aca="false">-PMT($B$2/12,$B$3*12,$B$1)</f>
        <v>1798.65157545826</v>
      </c>
      <c r="D86" s="5" t="n">
        <f aca="false">-IPMT($B$2/12,81,$B$3*12,$B$1)</f>
        <v>1353.55961420683</v>
      </c>
      <c r="E86" s="5" t="n">
        <f aca="false">-PPMT($B$2/12,81,$B$3*12,$B$1)</f>
        <v>445.091961251432</v>
      </c>
      <c r="F86" s="5" t="n">
        <f aca="false">B86-E86</f>
        <v>270266.830880113</v>
      </c>
    </row>
    <row r="87" customFormat="false" ht="15" hidden="false" customHeight="false" outlineLevel="0" collapsed="false">
      <c r="A87" s="0" t="n">
        <v>82</v>
      </c>
      <c r="B87" s="5" t="n">
        <f aca="false">F86</f>
        <v>270266.830880113</v>
      </c>
      <c r="C87" s="5" t="n">
        <f aca="false">-PMT($B$2/12,$B$3*12,$B$1)</f>
        <v>1798.65157545826</v>
      </c>
      <c r="D87" s="5" t="n">
        <f aca="false">-IPMT($B$2/12,82,$B$3*12,$B$1)</f>
        <v>1351.33415440057</v>
      </c>
      <c r="E87" s="5" t="n">
        <f aca="false">-PPMT($B$2/12,82,$B$3*12,$B$1)</f>
        <v>447.317421057689</v>
      </c>
      <c r="F87" s="5" t="n">
        <f aca="false">B87-E87</f>
        <v>269819.513459055</v>
      </c>
    </row>
    <row r="88" customFormat="false" ht="15" hidden="false" customHeight="false" outlineLevel="0" collapsed="false">
      <c r="A88" s="0" t="n">
        <v>83</v>
      </c>
      <c r="B88" s="5" t="n">
        <f aca="false">F87</f>
        <v>269819.513459055</v>
      </c>
      <c r="C88" s="5" t="n">
        <f aca="false">-PMT($B$2/12,$B$3*12,$B$1)</f>
        <v>1798.65157545826</v>
      </c>
      <c r="D88" s="5" t="n">
        <f aca="false">-IPMT($B$2/12,83,$B$3*12,$B$1)</f>
        <v>1349.09756729528</v>
      </c>
      <c r="E88" s="5" t="n">
        <f aca="false">-PPMT($B$2/12,83,$B$3*12,$B$1)</f>
        <v>449.554008162977</v>
      </c>
      <c r="F88" s="5" t="n">
        <f aca="false">B88-E88</f>
        <v>269369.959450892</v>
      </c>
    </row>
    <row r="89" customFormat="false" ht="15" hidden="false" customHeight="false" outlineLevel="0" collapsed="false">
      <c r="A89" s="0" t="n">
        <v>84</v>
      </c>
      <c r="B89" s="5" t="n">
        <f aca="false">F88</f>
        <v>269369.959450892</v>
      </c>
      <c r="C89" s="5" t="n">
        <f aca="false">-PMT($B$2/12,$B$3*12,$B$1)</f>
        <v>1798.65157545826</v>
      </c>
      <c r="D89" s="5" t="n">
        <f aca="false">-IPMT($B$2/12,84,$B$3*12,$B$1)</f>
        <v>1346.84979725446</v>
      </c>
      <c r="E89" s="5" t="n">
        <f aca="false">-PPMT($B$2/12,84,$B$3*12,$B$1)</f>
        <v>451.801778203793</v>
      </c>
      <c r="F89" s="5" t="n">
        <f aca="false">B89-E89</f>
        <v>268918.157672689</v>
      </c>
    </row>
    <row r="90" customFormat="false" ht="15" hidden="false" customHeight="false" outlineLevel="0" collapsed="false">
      <c r="A90" s="0" t="n">
        <v>85</v>
      </c>
      <c r="B90" s="5" t="n">
        <f aca="false">F89</f>
        <v>268918.157672689</v>
      </c>
      <c r="C90" s="5" t="n">
        <f aca="false">-PMT($B$2/12,$B$3*12,$B$1)</f>
        <v>1798.65157545826</v>
      </c>
      <c r="D90" s="5" t="n">
        <f aca="false">-IPMT($B$2/12,85,$B$3*12,$B$1)</f>
        <v>1344.59078836345</v>
      </c>
      <c r="E90" s="5" t="n">
        <f aca="false">-PPMT($B$2/12,85,$B$3*12,$B$1)</f>
        <v>454.060787094811</v>
      </c>
      <c r="F90" s="5" t="n">
        <f aca="false">B90-E90</f>
        <v>268464.096885594</v>
      </c>
    </row>
    <row r="91" customFormat="false" ht="15" hidden="false" customHeight="false" outlineLevel="0" collapsed="false">
      <c r="A91" s="0" t="n">
        <v>86</v>
      </c>
      <c r="B91" s="5" t="n">
        <f aca="false">F90</f>
        <v>268464.096885594</v>
      </c>
      <c r="C91" s="5" t="n">
        <f aca="false">-PMT($B$2/12,$B$3*12,$B$1)</f>
        <v>1798.65157545826</v>
      </c>
      <c r="D91" s="5" t="n">
        <f aca="false">-IPMT($B$2/12,86,$B$3*12,$B$1)</f>
        <v>1342.32048442797</v>
      </c>
      <c r="E91" s="5" t="n">
        <f aca="false">-PPMT($B$2/12,86,$B$3*12,$B$1)</f>
        <v>456.331091030285</v>
      </c>
      <c r="F91" s="5" t="n">
        <f aca="false">B91-E91</f>
        <v>268007.765794563</v>
      </c>
    </row>
    <row r="92" customFormat="false" ht="15" hidden="false" customHeight="false" outlineLevel="0" collapsed="false">
      <c r="A92" s="0" t="n">
        <v>87</v>
      </c>
      <c r="B92" s="5" t="n">
        <f aca="false">F91</f>
        <v>268007.765794563</v>
      </c>
      <c r="C92" s="5" t="n">
        <f aca="false">-PMT($B$2/12,$B$3*12,$B$1)</f>
        <v>1798.65157545826</v>
      </c>
      <c r="D92" s="5" t="n">
        <f aca="false">-IPMT($B$2/12,87,$B$3*12,$B$1)</f>
        <v>1340.03882897282</v>
      </c>
      <c r="E92" s="5" t="n">
        <f aca="false">-PPMT($B$2/12,87,$B$3*12,$B$1)</f>
        <v>458.612746485437</v>
      </c>
      <c r="F92" s="5" t="n">
        <f aca="false">B92-E92</f>
        <v>267549.153048078</v>
      </c>
    </row>
    <row r="93" customFormat="false" ht="15" hidden="false" customHeight="false" outlineLevel="0" collapsed="false">
      <c r="A93" s="0" t="n">
        <v>88</v>
      </c>
      <c r="B93" s="5" t="n">
        <f aca="false">F92</f>
        <v>267549.153048078</v>
      </c>
      <c r="C93" s="5" t="n">
        <f aca="false">-PMT($B$2/12,$B$3*12,$B$1)</f>
        <v>1798.65157545826</v>
      </c>
      <c r="D93" s="5" t="n">
        <f aca="false">-IPMT($B$2/12,88,$B$3*12,$B$1)</f>
        <v>1337.74576524039</v>
      </c>
      <c r="E93" s="5" t="n">
        <f aca="false">-PPMT($B$2/12,88,$B$3*12,$B$1)</f>
        <v>460.905810217864</v>
      </c>
      <c r="F93" s="5" t="n">
        <f aca="false">B93-E93</f>
        <v>267088.24723786</v>
      </c>
    </row>
    <row r="94" customFormat="false" ht="15" hidden="false" customHeight="false" outlineLevel="0" collapsed="false">
      <c r="A94" s="0" t="n">
        <v>89</v>
      </c>
      <c r="B94" s="5" t="n">
        <f aca="false">F93</f>
        <v>267088.24723786</v>
      </c>
      <c r="C94" s="5" t="n">
        <f aca="false">-PMT($B$2/12,$B$3*12,$B$1)</f>
        <v>1798.65157545826</v>
      </c>
      <c r="D94" s="5" t="n">
        <f aca="false">-IPMT($B$2/12,89,$B$3*12,$B$1)</f>
        <v>1335.4412361893</v>
      </c>
      <c r="E94" s="5" t="n">
        <f aca="false">-PPMT($B$2/12,89,$B$3*12,$B$1)</f>
        <v>463.210339268953</v>
      </c>
      <c r="F94" s="5" t="n">
        <f aca="false">B94-E94</f>
        <v>266625.036898591</v>
      </c>
    </row>
    <row r="95" customFormat="false" ht="15" hidden="false" customHeight="false" outlineLevel="0" collapsed="false">
      <c r="A95" s="0" t="n">
        <v>90</v>
      </c>
      <c r="B95" s="5" t="n">
        <f aca="false">F94</f>
        <v>266625.036898591</v>
      </c>
      <c r="C95" s="5" t="n">
        <f aca="false">-PMT($B$2/12,$B$3*12,$B$1)</f>
        <v>1798.65157545826</v>
      </c>
      <c r="D95" s="5" t="n">
        <f aca="false">-IPMT($B$2/12,90,$B$3*12,$B$1)</f>
        <v>1333.12518449296</v>
      </c>
      <c r="E95" s="5" t="n">
        <f aca="false">-PPMT($B$2/12,90,$B$3*12,$B$1)</f>
        <v>465.526390965298</v>
      </c>
      <c r="F95" s="5" t="n">
        <f aca="false">B95-E95</f>
        <v>266159.510507626</v>
      </c>
    </row>
    <row r="96" customFormat="false" ht="15" hidden="false" customHeight="false" outlineLevel="0" collapsed="false">
      <c r="A96" s="0" t="n">
        <v>91</v>
      </c>
      <c r="B96" s="5" t="n">
        <f aca="false">F95</f>
        <v>266159.510507626</v>
      </c>
      <c r="C96" s="5" t="n">
        <f aca="false">-PMT($B$2/12,$B$3*12,$B$1)</f>
        <v>1798.65157545826</v>
      </c>
      <c r="D96" s="5" t="n">
        <f aca="false">-IPMT($B$2/12,91,$B$3*12,$B$1)</f>
        <v>1330.79755253813</v>
      </c>
      <c r="E96" s="5" t="n">
        <f aca="false">-PPMT($B$2/12,91,$B$3*12,$B$1)</f>
        <v>467.854022920124</v>
      </c>
      <c r="F96" s="5" t="n">
        <f aca="false">B96-E96</f>
        <v>265691.656484706</v>
      </c>
    </row>
    <row r="97" customFormat="false" ht="15" hidden="false" customHeight="false" outlineLevel="0" collapsed="false">
      <c r="A97" s="0" t="n">
        <v>92</v>
      </c>
      <c r="B97" s="5" t="n">
        <f aca="false">F96</f>
        <v>265691.656484706</v>
      </c>
      <c r="C97" s="5" t="n">
        <f aca="false">-PMT($B$2/12,$B$3*12,$B$1)</f>
        <v>1798.65157545826</v>
      </c>
      <c r="D97" s="5" t="n">
        <f aca="false">-IPMT($B$2/12,92,$B$3*12,$B$1)</f>
        <v>1328.45828242353</v>
      </c>
      <c r="E97" s="5" t="n">
        <f aca="false">-PPMT($B$2/12,92,$B$3*12,$B$1)</f>
        <v>470.193293034725</v>
      </c>
      <c r="F97" s="5" t="n">
        <f aca="false">B97-E97</f>
        <v>265221.463191671</v>
      </c>
    </row>
    <row r="98" customFormat="false" ht="15" hidden="false" customHeight="false" outlineLevel="0" collapsed="false">
      <c r="A98" s="0" t="n">
        <v>93</v>
      </c>
      <c r="B98" s="5" t="n">
        <f aca="false">F97</f>
        <v>265221.463191671</v>
      </c>
      <c r="C98" s="5" t="n">
        <f aca="false">-PMT($B$2/12,$B$3*12,$B$1)</f>
        <v>1798.65157545826</v>
      </c>
      <c r="D98" s="5" t="n">
        <f aca="false">-IPMT($B$2/12,93,$B$3*12,$B$1)</f>
        <v>1326.10731595836</v>
      </c>
      <c r="E98" s="5" t="n">
        <f aca="false">-PPMT($B$2/12,93,$B$3*12,$B$1)</f>
        <v>472.544259499898</v>
      </c>
      <c r="F98" s="5" t="n">
        <f aca="false">B98-E98</f>
        <v>264748.918932171</v>
      </c>
    </row>
    <row r="99" customFormat="false" ht="15" hidden="false" customHeight="false" outlineLevel="0" collapsed="false">
      <c r="A99" s="0" t="n">
        <v>94</v>
      </c>
      <c r="B99" s="5" t="n">
        <f aca="false">F98</f>
        <v>264748.918932171</v>
      </c>
      <c r="C99" s="5" t="n">
        <f aca="false">-PMT($B$2/12,$B$3*12,$B$1)</f>
        <v>1798.65157545826</v>
      </c>
      <c r="D99" s="5" t="n">
        <f aca="false">-IPMT($B$2/12,94,$B$3*12,$B$1)</f>
        <v>1323.74459466086</v>
      </c>
      <c r="E99" s="5" t="n">
        <f aca="false">-PPMT($B$2/12,94,$B$3*12,$B$1)</f>
        <v>474.906980797398</v>
      </c>
      <c r="F99" s="5" t="n">
        <f aca="false">B99-E99</f>
        <v>264274.011951374</v>
      </c>
    </row>
    <row r="100" customFormat="false" ht="15" hidden="false" customHeight="false" outlineLevel="0" collapsed="false">
      <c r="A100" s="0" t="n">
        <v>95</v>
      </c>
      <c r="B100" s="5" t="n">
        <f aca="false">F99</f>
        <v>264274.011951374</v>
      </c>
      <c r="C100" s="5" t="n">
        <f aca="false">-PMT($B$2/12,$B$3*12,$B$1)</f>
        <v>1798.65157545826</v>
      </c>
      <c r="D100" s="5" t="n">
        <f aca="false">-IPMT($B$2/12,95,$B$3*12,$B$1)</f>
        <v>1321.37005975687</v>
      </c>
      <c r="E100" s="5" t="n">
        <f aca="false">-PPMT($B$2/12,95,$B$3*12,$B$1)</f>
        <v>477.281515701385</v>
      </c>
      <c r="F100" s="5" t="n">
        <f aca="false">B100-E100</f>
        <v>263796.730435672</v>
      </c>
    </row>
    <row r="101" customFormat="false" ht="15" hidden="false" customHeight="false" outlineLevel="0" collapsed="false">
      <c r="A101" s="0" t="n">
        <v>96</v>
      </c>
      <c r="B101" s="5" t="n">
        <f aca="false">F100</f>
        <v>263796.730435672</v>
      </c>
      <c r="C101" s="5" t="n">
        <f aca="false">-PMT($B$2/12,$B$3*12,$B$1)</f>
        <v>1798.65157545826</v>
      </c>
      <c r="D101" s="5" t="n">
        <f aca="false">-IPMT($B$2/12,96,$B$3*12,$B$1)</f>
        <v>1318.98365217837</v>
      </c>
      <c r="E101" s="5" t="n">
        <f aca="false">-PPMT($B$2/12,96,$B$3*12,$B$1)</f>
        <v>479.667923279892</v>
      </c>
      <c r="F101" s="5" t="n">
        <f aca="false">B101-E101</f>
        <v>263317.062512393</v>
      </c>
    </row>
    <row r="102" customFormat="false" ht="15" hidden="false" customHeight="false" outlineLevel="0" collapsed="false">
      <c r="A102" s="0" t="n">
        <v>97</v>
      </c>
      <c r="B102" s="5" t="n">
        <f aca="false">F101</f>
        <v>263317.062512393</v>
      </c>
      <c r="C102" s="5" t="n">
        <f aca="false">-PMT($B$2/12,$B$3*12,$B$1)</f>
        <v>1798.65157545826</v>
      </c>
      <c r="D102" s="5" t="n">
        <f aca="false">-IPMT($B$2/12,97,$B$3*12,$B$1)</f>
        <v>1316.58531256197</v>
      </c>
      <c r="E102" s="5" t="n">
        <f aca="false">-PPMT($B$2/12,97,$B$3*12,$B$1)</f>
        <v>482.066262896291</v>
      </c>
      <c r="F102" s="5" t="n">
        <f aca="false">B102-E102</f>
        <v>262834.996249496</v>
      </c>
    </row>
    <row r="103" customFormat="false" ht="15" hidden="false" customHeight="false" outlineLevel="0" collapsed="false">
      <c r="A103" s="0" t="n">
        <v>98</v>
      </c>
      <c r="B103" s="5" t="n">
        <f aca="false">F102</f>
        <v>262834.996249496</v>
      </c>
      <c r="C103" s="5" t="n">
        <f aca="false">-PMT($B$2/12,$B$3*12,$B$1)</f>
        <v>1798.65157545826</v>
      </c>
      <c r="D103" s="5" t="n">
        <f aca="false">-IPMT($B$2/12,98,$B$3*12,$B$1)</f>
        <v>1314.17498124749</v>
      </c>
      <c r="E103" s="5" t="n">
        <f aca="false">-PPMT($B$2/12,98,$B$3*12,$B$1)</f>
        <v>484.476594210772</v>
      </c>
      <c r="F103" s="5" t="n">
        <f aca="false">B103-E103</f>
        <v>262350.519655285</v>
      </c>
    </row>
    <row r="104" customFormat="false" ht="15" hidden="false" customHeight="false" outlineLevel="0" collapsed="false">
      <c r="A104" s="0" t="n">
        <v>99</v>
      </c>
      <c r="B104" s="5" t="n">
        <f aca="false">F103</f>
        <v>262350.519655285</v>
      </c>
      <c r="C104" s="5" t="n">
        <f aca="false">-PMT($B$2/12,$B$3*12,$B$1)</f>
        <v>1798.65157545826</v>
      </c>
      <c r="D104" s="5" t="n">
        <f aca="false">-IPMT($B$2/12,99,$B$3*12,$B$1)</f>
        <v>1311.75259827643</v>
      </c>
      <c r="E104" s="5" t="n">
        <f aca="false">-PPMT($B$2/12,99,$B$3*12,$B$1)</f>
        <v>486.898977181826</v>
      </c>
      <c r="F104" s="5" t="n">
        <f aca="false">B104-E104</f>
        <v>261863.620678104</v>
      </c>
    </row>
    <row r="105" customFormat="false" ht="15" hidden="false" customHeight="false" outlineLevel="0" collapsed="false">
      <c r="A105" s="0" t="n">
        <v>100</v>
      </c>
      <c r="B105" s="5" t="n">
        <f aca="false">F104</f>
        <v>261863.620678104</v>
      </c>
      <c r="C105" s="5" t="n">
        <f aca="false">-PMT($B$2/12,$B$3*12,$B$1)</f>
        <v>1798.65157545826</v>
      </c>
      <c r="D105" s="5" t="n">
        <f aca="false">-IPMT($B$2/12,100,$B$3*12,$B$1)</f>
        <v>1309.31810339052</v>
      </c>
      <c r="E105" s="5" t="n">
        <f aca="false">-PPMT($B$2/12,100,$B$3*12,$B$1)</f>
        <v>489.333472067735</v>
      </c>
      <c r="F105" s="5" t="n">
        <f aca="false">B105-E105</f>
        <v>261374.287206036</v>
      </c>
    </row>
    <row r="106" customFormat="false" ht="15" hidden="false" customHeight="false" outlineLevel="0" collapsed="false">
      <c r="A106" s="0" t="n">
        <v>101</v>
      </c>
      <c r="B106" s="5" t="n">
        <f aca="false">F105</f>
        <v>261374.287206036</v>
      </c>
      <c r="C106" s="5" t="n">
        <f aca="false">-PMT($B$2/12,$B$3*12,$B$1)</f>
        <v>1798.65157545826</v>
      </c>
      <c r="D106" s="5" t="n">
        <f aca="false">-IPMT($B$2/12,101,$B$3*12,$B$1)</f>
        <v>1306.87143603018</v>
      </c>
      <c r="E106" s="5" t="n">
        <f aca="false">-PPMT($B$2/12,101,$B$3*12,$B$1)</f>
        <v>491.780139428074</v>
      </c>
      <c r="F106" s="5" t="n">
        <f aca="false">B106-E106</f>
        <v>260882.507066608</v>
      </c>
    </row>
    <row r="107" customFormat="false" ht="15" hidden="false" customHeight="false" outlineLevel="0" collapsed="false">
      <c r="A107" s="0" t="n">
        <v>102</v>
      </c>
      <c r="B107" s="5" t="n">
        <f aca="false">F106</f>
        <v>260882.507066608</v>
      </c>
      <c r="C107" s="5" t="n">
        <f aca="false">-PMT($B$2/12,$B$3*12,$B$1)</f>
        <v>1798.65157545826</v>
      </c>
      <c r="D107" s="5" t="n">
        <f aca="false">-IPMT($B$2/12,102,$B$3*12,$B$1)</f>
        <v>1304.41253533304</v>
      </c>
      <c r="E107" s="5" t="n">
        <f aca="false">-PPMT($B$2/12,102,$B$3*12,$B$1)</f>
        <v>494.239040125214</v>
      </c>
      <c r="F107" s="5" t="n">
        <f aca="false">B107-E107</f>
        <v>260388.268026483</v>
      </c>
    </row>
    <row r="108" customFormat="false" ht="15" hidden="false" customHeight="false" outlineLevel="0" collapsed="false">
      <c r="A108" s="0" t="n">
        <v>103</v>
      </c>
      <c r="B108" s="5" t="n">
        <f aca="false">F107</f>
        <v>260388.268026483</v>
      </c>
      <c r="C108" s="5" t="n">
        <f aca="false">-PMT($B$2/12,$B$3*12,$B$1)</f>
        <v>1798.65157545826</v>
      </c>
      <c r="D108" s="5" t="n">
        <f aca="false">-IPMT($B$2/12,103,$B$3*12,$B$1)</f>
        <v>1301.94134013242</v>
      </c>
      <c r="E108" s="5" t="n">
        <f aca="false">-PPMT($B$2/12,103,$B$3*12,$B$1)</f>
        <v>496.71023532584</v>
      </c>
      <c r="F108" s="5" t="n">
        <f aca="false">B108-E108</f>
        <v>259891.557791157</v>
      </c>
    </row>
    <row r="109" customFormat="false" ht="15" hidden="false" customHeight="false" outlineLevel="0" collapsed="false">
      <c r="A109" s="0" t="n">
        <v>104</v>
      </c>
      <c r="B109" s="5" t="n">
        <f aca="false">F108</f>
        <v>259891.557791157</v>
      </c>
      <c r="C109" s="5" t="n">
        <f aca="false">-PMT($B$2/12,$B$3*12,$B$1)</f>
        <v>1798.65157545826</v>
      </c>
      <c r="D109" s="5" t="n">
        <f aca="false">-IPMT($B$2/12,104,$B$3*12,$B$1)</f>
        <v>1299.45778895579</v>
      </c>
      <c r="E109" s="5" t="n">
        <f aca="false">-PPMT($B$2/12,104,$B$3*12,$B$1)</f>
        <v>499.19378650247</v>
      </c>
      <c r="F109" s="5" t="n">
        <f aca="false">B109-E109</f>
        <v>259392.364004654</v>
      </c>
    </row>
    <row r="110" customFormat="false" ht="15" hidden="false" customHeight="false" outlineLevel="0" collapsed="false">
      <c r="A110" s="0" t="n">
        <v>105</v>
      </c>
      <c r="B110" s="5" t="n">
        <f aca="false">F109</f>
        <v>259392.364004654</v>
      </c>
      <c r="C110" s="5" t="n">
        <f aca="false">-PMT($B$2/12,$B$3*12,$B$1)</f>
        <v>1798.65157545826</v>
      </c>
      <c r="D110" s="5" t="n">
        <f aca="false">-IPMT($B$2/12,105,$B$3*12,$B$1)</f>
        <v>1296.96182002328</v>
      </c>
      <c r="E110" s="5" t="n">
        <f aca="false">-PPMT($B$2/12,105,$B$3*12,$B$1)</f>
        <v>501.689755434982</v>
      </c>
      <c r="F110" s="5" t="n">
        <f aca="false">B110-E110</f>
        <v>258890.674249219</v>
      </c>
    </row>
    <row r="111" customFormat="false" ht="15" hidden="false" customHeight="false" outlineLevel="0" collapsed="false">
      <c r="A111" s="0" t="n">
        <v>106</v>
      </c>
      <c r="B111" s="5" t="n">
        <f aca="false">F110</f>
        <v>258890.674249219</v>
      </c>
      <c r="C111" s="5" t="n">
        <f aca="false">-PMT($B$2/12,$B$3*12,$B$1)</f>
        <v>1798.65157545826</v>
      </c>
      <c r="D111" s="5" t="n">
        <f aca="false">-IPMT($B$2/12,106,$B$3*12,$B$1)</f>
        <v>1294.4533712461</v>
      </c>
      <c r="E111" s="5" t="n">
        <f aca="false">-PPMT($B$2/12,106,$B$3*12,$B$1)</f>
        <v>504.198204212157</v>
      </c>
      <c r="F111" s="5" t="n">
        <f aca="false">B111-E111</f>
        <v>258386.476045007</v>
      </c>
    </row>
    <row r="112" customFormat="false" ht="15" hidden="false" customHeight="false" outlineLevel="0" collapsed="false">
      <c r="A112" s="0" t="n">
        <v>107</v>
      </c>
      <c r="B112" s="5" t="n">
        <f aca="false">F111</f>
        <v>258386.476045007</v>
      </c>
      <c r="C112" s="5" t="n">
        <f aca="false">-PMT($B$2/12,$B$3*12,$B$1)</f>
        <v>1798.65157545826</v>
      </c>
      <c r="D112" s="5" t="n">
        <f aca="false">-IPMT($B$2/12,107,$B$3*12,$B$1)</f>
        <v>1291.93238022504</v>
      </c>
      <c r="E112" s="5" t="n">
        <f aca="false">-PPMT($B$2/12,107,$B$3*12,$B$1)</f>
        <v>506.719195233217</v>
      </c>
      <c r="F112" s="5" t="n">
        <f aca="false">B112-E112</f>
        <v>257879.756849774</v>
      </c>
    </row>
    <row r="113" customFormat="false" ht="15" hidden="false" customHeight="false" outlineLevel="0" collapsed="false">
      <c r="A113" s="0" t="n">
        <v>108</v>
      </c>
      <c r="B113" s="5" t="n">
        <f aca="false">F112</f>
        <v>257879.756849774</v>
      </c>
      <c r="C113" s="5" t="n">
        <f aca="false">-PMT($B$2/12,$B$3*12,$B$1)</f>
        <v>1798.65157545826</v>
      </c>
      <c r="D113" s="5" t="n">
        <f aca="false">-IPMT($B$2/12,108,$B$3*12,$B$1)</f>
        <v>1289.39878424887</v>
      </c>
      <c r="E113" s="5" t="n">
        <f aca="false">-PPMT($B$2/12,108,$B$3*12,$B$1)</f>
        <v>509.252791209383</v>
      </c>
      <c r="F113" s="5" t="n">
        <f aca="false">B113-E113</f>
        <v>257370.504058565</v>
      </c>
    </row>
    <row r="114" customFormat="false" ht="15" hidden="false" customHeight="false" outlineLevel="0" collapsed="false">
      <c r="A114" s="0" t="n">
        <v>109</v>
      </c>
      <c r="B114" s="5" t="n">
        <f aca="false">F113</f>
        <v>257370.504058565</v>
      </c>
      <c r="C114" s="5" t="n">
        <f aca="false">-PMT($B$2/12,$B$3*12,$B$1)</f>
        <v>1798.65157545826</v>
      </c>
      <c r="D114" s="5" t="n">
        <f aca="false">-IPMT($B$2/12,109,$B$3*12,$B$1)</f>
        <v>1286.85252029283</v>
      </c>
      <c r="E114" s="5" t="n">
        <f aca="false">-PPMT($B$2/12,109,$B$3*12,$B$1)</f>
        <v>511.79905516543</v>
      </c>
      <c r="F114" s="5" t="n">
        <f aca="false">B114-E114</f>
        <v>256858.705003399</v>
      </c>
    </row>
    <row r="115" customFormat="false" ht="15" hidden="false" customHeight="false" outlineLevel="0" collapsed="false">
      <c r="A115" s="0" t="n">
        <v>110</v>
      </c>
      <c r="B115" s="5" t="n">
        <f aca="false">F114</f>
        <v>256858.705003399</v>
      </c>
      <c r="C115" s="5" t="n">
        <f aca="false">-PMT($B$2/12,$B$3*12,$B$1)</f>
        <v>1798.65157545826</v>
      </c>
      <c r="D115" s="5" t="n">
        <f aca="false">-IPMT($B$2/12,110,$B$3*12,$B$1)</f>
        <v>1284.293525017</v>
      </c>
      <c r="E115" s="5" t="n">
        <f aca="false">-PPMT($B$2/12,110,$B$3*12,$B$1)</f>
        <v>514.358050441257</v>
      </c>
      <c r="F115" s="5" t="n">
        <f aca="false">B115-E115</f>
        <v>256344.346952958</v>
      </c>
    </row>
    <row r="116" customFormat="false" ht="15" hidden="false" customHeight="false" outlineLevel="0" collapsed="false">
      <c r="A116" s="0" t="n">
        <v>111</v>
      </c>
      <c r="B116" s="5" t="n">
        <f aca="false">F115</f>
        <v>256344.346952958</v>
      </c>
      <c r="C116" s="5" t="n">
        <f aca="false">-PMT($B$2/12,$B$3*12,$B$1)</f>
        <v>1798.65157545826</v>
      </c>
      <c r="D116" s="5" t="n">
        <f aca="false">-IPMT($B$2/12,111,$B$3*12,$B$1)</f>
        <v>1281.72173476479</v>
      </c>
      <c r="E116" s="5" t="n">
        <f aca="false">-PPMT($B$2/12,111,$B$3*12,$B$1)</f>
        <v>516.929840693463</v>
      </c>
      <c r="F116" s="5" t="n">
        <f aca="false">B116-E116</f>
        <v>255827.417112264</v>
      </c>
    </row>
    <row r="117" customFormat="false" ht="15" hidden="false" customHeight="false" outlineLevel="0" collapsed="false">
      <c r="A117" s="0" t="n">
        <v>112</v>
      </c>
      <c r="B117" s="5" t="n">
        <f aca="false">F116</f>
        <v>255827.417112264</v>
      </c>
      <c r="C117" s="5" t="n">
        <f aca="false">-PMT($B$2/12,$B$3*12,$B$1)</f>
        <v>1798.65157545826</v>
      </c>
      <c r="D117" s="5" t="n">
        <f aca="false">-IPMT($B$2/12,112,$B$3*12,$B$1)</f>
        <v>1279.13708556133</v>
      </c>
      <c r="E117" s="5" t="n">
        <f aca="false">-PPMT($B$2/12,112,$B$3*12,$B$1)</f>
        <v>519.514489896931</v>
      </c>
      <c r="F117" s="5" t="n">
        <f aca="false">B117-E117</f>
        <v>255307.902622368</v>
      </c>
    </row>
    <row r="118" customFormat="false" ht="15" hidden="false" customHeight="false" outlineLevel="0" collapsed="false">
      <c r="A118" s="0" t="n">
        <v>113</v>
      </c>
      <c r="B118" s="5" t="n">
        <f aca="false">F117</f>
        <v>255307.902622368</v>
      </c>
      <c r="C118" s="5" t="n">
        <f aca="false">-PMT($B$2/12,$B$3*12,$B$1)</f>
        <v>1798.65157545826</v>
      </c>
      <c r="D118" s="5" t="n">
        <f aca="false">-IPMT($B$2/12,113,$B$3*12,$B$1)</f>
        <v>1276.53951311184</v>
      </c>
      <c r="E118" s="5" t="n">
        <f aca="false">-PPMT($B$2/12,113,$B$3*12,$B$1)</f>
        <v>522.112062346415</v>
      </c>
      <c r="F118" s="5" t="n">
        <f aca="false">B118-E118</f>
        <v>254785.790560021</v>
      </c>
    </row>
    <row r="119" customFormat="false" ht="15" hidden="false" customHeight="false" outlineLevel="0" collapsed="false">
      <c r="A119" s="0" t="n">
        <v>114</v>
      </c>
      <c r="B119" s="5" t="n">
        <f aca="false">F118</f>
        <v>254785.790560021</v>
      </c>
      <c r="C119" s="5" t="n">
        <f aca="false">-PMT($B$2/12,$B$3*12,$B$1)</f>
        <v>1798.65157545826</v>
      </c>
      <c r="D119" s="5" t="n">
        <f aca="false">-IPMT($B$2/12,114,$B$3*12,$B$1)</f>
        <v>1273.92895280011</v>
      </c>
      <c r="E119" s="5" t="n">
        <f aca="false">-PPMT($B$2/12,114,$B$3*12,$B$1)</f>
        <v>524.722622658147</v>
      </c>
      <c r="F119" s="5" t="n">
        <f aca="false">B119-E119</f>
        <v>254261.067937363</v>
      </c>
    </row>
    <row r="120" customFormat="false" ht="15" hidden="false" customHeight="false" outlineLevel="0" collapsed="false">
      <c r="A120" s="0" t="n">
        <v>115</v>
      </c>
      <c r="B120" s="5" t="n">
        <f aca="false">F119</f>
        <v>254261.067937363</v>
      </c>
      <c r="C120" s="5" t="n">
        <f aca="false">-PMT($B$2/12,$B$3*12,$B$1)</f>
        <v>1798.65157545826</v>
      </c>
      <c r="D120" s="5" t="n">
        <f aca="false">-IPMT($B$2/12,115,$B$3*12,$B$1)</f>
        <v>1271.30533968682</v>
      </c>
      <c r="E120" s="5" t="n">
        <f aca="false">-PPMT($B$2/12,115,$B$3*12,$B$1)</f>
        <v>527.346235771438</v>
      </c>
      <c r="F120" s="5" t="n">
        <f aca="false">B120-E120</f>
        <v>253733.721701591</v>
      </c>
    </row>
    <row r="121" customFormat="false" ht="15" hidden="false" customHeight="false" outlineLevel="0" collapsed="false">
      <c r="A121" s="0" t="n">
        <v>116</v>
      </c>
      <c r="B121" s="5" t="n">
        <f aca="false">F120</f>
        <v>253733.721701591</v>
      </c>
      <c r="C121" s="5" t="n">
        <f aca="false">-PMT($B$2/12,$B$3*12,$B$1)</f>
        <v>1798.65157545826</v>
      </c>
      <c r="D121" s="5" t="n">
        <f aca="false">-IPMT($B$2/12,116,$B$3*12,$B$1)</f>
        <v>1268.66860850796</v>
      </c>
      <c r="E121" s="5" t="n">
        <f aca="false">-PPMT($B$2/12,116,$B$3*12,$B$1)</f>
        <v>529.982966950295</v>
      </c>
      <c r="F121" s="5" t="n">
        <f aca="false">B121-E121</f>
        <v>253203.738734641</v>
      </c>
    </row>
    <row r="122" customFormat="false" ht="15" hidden="false" customHeight="false" outlineLevel="0" collapsed="false">
      <c r="A122" s="0" t="n">
        <v>117</v>
      </c>
      <c r="B122" s="5" t="n">
        <f aca="false">F121</f>
        <v>253203.738734641</v>
      </c>
      <c r="C122" s="5" t="n">
        <f aca="false">-PMT($B$2/12,$B$3*12,$B$1)</f>
        <v>1798.65157545826</v>
      </c>
      <c r="D122" s="5" t="n">
        <f aca="false">-IPMT($B$2/12,117,$B$3*12,$B$1)</f>
        <v>1266.01869367321</v>
      </c>
      <c r="E122" s="5" t="n">
        <f aca="false">-PPMT($B$2/12,117,$B$3*12,$B$1)</f>
        <v>532.632881785047</v>
      </c>
      <c r="F122" s="5" t="n">
        <f aca="false">B122-E122</f>
        <v>252671.105852856</v>
      </c>
    </row>
    <row r="123" customFormat="false" ht="15" hidden="false" customHeight="false" outlineLevel="0" collapsed="false">
      <c r="A123" s="0" t="n">
        <v>118</v>
      </c>
      <c r="B123" s="5" t="n">
        <f aca="false">F122</f>
        <v>252671.105852856</v>
      </c>
      <c r="C123" s="5" t="n">
        <f aca="false">-PMT($B$2/12,$B$3*12,$B$1)</f>
        <v>1798.65157545826</v>
      </c>
      <c r="D123" s="5" t="n">
        <f aca="false">-IPMT($B$2/12,118,$B$3*12,$B$1)</f>
        <v>1263.35552926429</v>
      </c>
      <c r="E123" s="5" t="n">
        <f aca="false">-PPMT($B$2/12,118,$B$3*12,$B$1)</f>
        <v>535.296046193972</v>
      </c>
      <c r="F123" s="5" t="n">
        <f aca="false">B123-E123</f>
        <v>252135.809806662</v>
      </c>
    </row>
    <row r="124" customFormat="false" ht="15" hidden="false" customHeight="false" outlineLevel="0" collapsed="false">
      <c r="A124" s="0" t="n">
        <v>119</v>
      </c>
      <c r="B124" s="5" t="n">
        <f aca="false">F123</f>
        <v>252135.809806662</v>
      </c>
      <c r="C124" s="5" t="n">
        <f aca="false">-PMT($B$2/12,$B$3*12,$B$1)</f>
        <v>1798.65157545826</v>
      </c>
      <c r="D124" s="5" t="n">
        <f aca="false">-IPMT($B$2/12,119,$B$3*12,$B$1)</f>
        <v>1260.67904903332</v>
      </c>
      <c r="E124" s="5" t="n">
        <f aca="false">-PPMT($B$2/12,119,$B$3*12,$B$1)</f>
        <v>537.972526424941</v>
      </c>
      <c r="F124" s="5" t="n">
        <f aca="false">B124-E124</f>
        <v>251597.837280237</v>
      </c>
    </row>
    <row r="125" customFormat="false" ht="15" hidden="false" customHeight="false" outlineLevel="0" collapsed="false">
      <c r="A125" s="0" t="n">
        <v>120</v>
      </c>
      <c r="B125" s="5" t="n">
        <f aca="false">F124</f>
        <v>251597.837280237</v>
      </c>
      <c r="C125" s="5" t="n">
        <f aca="false">-PMT($B$2/12,$B$3*12,$B$1)</f>
        <v>1798.65157545826</v>
      </c>
      <c r="D125" s="5" t="n">
        <f aca="false">-IPMT($B$2/12,120,$B$3*12,$B$1)</f>
        <v>1257.98918640119</v>
      </c>
      <c r="E125" s="5" t="n">
        <f aca="false">-PPMT($B$2/12,120,$B$3*12,$B$1)</f>
        <v>540.662389057066</v>
      </c>
      <c r="F125" s="5" t="n">
        <f aca="false">B125-E125</f>
        <v>251057.17489118</v>
      </c>
    </row>
    <row r="126" customFormat="false" ht="15" hidden="false" customHeight="false" outlineLevel="0" collapsed="false">
      <c r="A126" s="0" t="n">
        <v>121</v>
      </c>
      <c r="B126" s="5" t="n">
        <f aca="false">F125</f>
        <v>251057.17489118</v>
      </c>
      <c r="C126" s="5" t="n">
        <f aca="false">-PMT($B$2/12,$B$3*12,$B$1)</f>
        <v>1798.65157545826</v>
      </c>
      <c r="D126" s="5" t="n">
        <f aca="false">-IPMT($B$2/12,121,$B$3*12,$B$1)</f>
        <v>1255.28587445591</v>
      </c>
      <c r="E126" s="5" t="n">
        <f aca="false">-PPMT($B$2/12,121,$B$3*12,$B$1)</f>
        <v>543.365701002351</v>
      </c>
      <c r="F126" s="5" t="n">
        <f aca="false">B126-E126</f>
        <v>250513.809190178</v>
      </c>
    </row>
    <row r="127" customFormat="false" ht="15" hidden="false" customHeight="false" outlineLevel="0" collapsed="false">
      <c r="A127" s="0" t="n">
        <v>122</v>
      </c>
      <c r="B127" s="5" t="n">
        <f aca="false">F126</f>
        <v>250513.809190178</v>
      </c>
      <c r="C127" s="5" t="n">
        <f aca="false">-PMT($B$2/12,$B$3*12,$B$1)</f>
        <v>1798.65157545826</v>
      </c>
      <c r="D127" s="5" t="n">
        <f aca="false">-IPMT($B$2/12,122,$B$3*12,$B$1)</f>
        <v>1252.56904595089</v>
      </c>
      <c r="E127" s="5" t="n">
        <f aca="false">-PPMT($B$2/12,122,$B$3*12,$B$1)</f>
        <v>546.082529507363</v>
      </c>
      <c r="F127" s="5" t="n">
        <f aca="false">B127-E127</f>
        <v>249967.72666067</v>
      </c>
    </row>
    <row r="128" customFormat="false" ht="15" hidden="false" customHeight="false" outlineLevel="0" collapsed="false">
      <c r="A128" s="0" t="n">
        <v>123</v>
      </c>
      <c r="B128" s="5" t="n">
        <f aca="false">F127</f>
        <v>249967.72666067</v>
      </c>
      <c r="C128" s="5" t="n">
        <f aca="false">-PMT($B$2/12,$B$3*12,$B$1)</f>
        <v>1798.65157545826</v>
      </c>
      <c r="D128" s="5" t="n">
        <f aca="false">-IPMT($B$2/12,123,$B$3*12,$B$1)</f>
        <v>1249.83863330336</v>
      </c>
      <c r="E128" s="5" t="n">
        <f aca="false">-PPMT($B$2/12,123,$B$3*12,$B$1)</f>
        <v>548.8129421549</v>
      </c>
      <c r="F128" s="5" t="n">
        <f aca="false">B128-E128</f>
        <v>249418.913718515</v>
      </c>
    </row>
    <row r="129" customFormat="false" ht="15" hidden="false" customHeight="false" outlineLevel="0" collapsed="false">
      <c r="A129" s="0" t="n">
        <v>124</v>
      </c>
      <c r="B129" s="5" t="n">
        <f aca="false">F128</f>
        <v>249418.913718515</v>
      </c>
      <c r="C129" s="5" t="n">
        <f aca="false">-PMT($B$2/12,$B$3*12,$B$1)</f>
        <v>1798.65157545826</v>
      </c>
      <c r="D129" s="5" t="n">
        <f aca="false">-IPMT($B$2/12,124,$B$3*12,$B$1)</f>
        <v>1247.09456859258</v>
      </c>
      <c r="E129" s="5" t="n">
        <f aca="false">-PPMT($B$2/12,124,$B$3*12,$B$1)</f>
        <v>551.557006865674</v>
      </c>
      <c r="F129" s="5" t="n">
        <f aca="false">B129-E129</f>
        <v>248867.35671165</v>
      </c>
    </row>
    <row r="130" customFormat="false" ht="15" hidden="false" customHeight="false" outlineLevel="0" collapsed="false">
      <c r="A130" s="0" t="n">
        <v>125</v>
      </c>
      <c r="B130" s="5" t="n">
        <f aca="false">F129</f>
        <v>248867.35671165</v>
      </c>
      <c r="C130" s="5" t="n">
        <f aca="false">-PMT($B$2/12,$B$3*12,$B$1)</f>
        <v>1798.65157545826</v>
      </c>
      <c r="D130" s="5" t="n">
        <f aca="false">-IPMT($B$2/12,125,$B$3*12,$B$1)</f>
        <v>1244.33678355825</v>
      </c>
      <c r="E130" s="5" t="n">
        <f aca="false">-PPMT($B$2/12,125,$B$3*12,$B$1)</f>
        <v>554.314791900003</v>
      </c>
      <c r="F130" s="5" t="n">
        <f aca="false">B130-E130</f>
        <v>248313.04191975</v>
      </c>
    </row>
    <row r="131" customFormat="false" ht="15" hidden="false" customHeight="false" outlineLevel="0" collapsed="false">
      <c r="A131" s="0" t="n">
        <v>126</v>
      </c>
      <c r="B131" s="5" t="n">
        <f aca="false">F130</f>
        <v>248313.04191975</v>
      </c>
      <c r="C131" s="5" t="n">
        <f aca="false">-PMT($B$2/12,$B$3*12,$B$1)</f>
        <v>1798.65157545826</v>
      </c>
      <c r="D131" s="5" t="n">
        <f aca="false">-IPMT($B$2/12,126,$B$3*12,$B$1)</f>
        <v>1241.56520959875</v>
      </c>
      <c r="E131" s="5" t="n">
        <f aca="false">-PPMT($B$2/12,126,$B$3*12,$B$1)</f>
        <v>557.086365859503</v>
      </c>
      <c r="F131" s="5" t="n">
        <f aca="false">B131-E131</f>
        <v>247755.95555389</v>
      </c>
    </row>
    <row r="132" customFormat="false" ht="15" hidden="false" customHeight="false" outlineLevel="0" collapsed="false">
      <c r="A132" s="0" t="n">
        <v>127</v>
      </c>
      <c r="B132" s="5" t="n">
        <f aca="false">F131</f>
        <v>247755.95555389</v>
      </c>
      <c r="C132" s="5" t="n">
        <f aca="false">-PMT($B$2/12,$B$3*12,$B$1)</f>
        <v>1798.65157545826</v>
      </c>
      <c r="D132" s="5" t="n">
        <f aca="false">-IPMT($B$2/12,127,$B$3*12,$B$1)</f>
        <v>1238.77977776946</v>
      </c>
      <c r="E132" s="5" t="n">
        <f aca="false">-PPMT($B$2/12,127,$B$3*12,$B$1)</f>
        <v>559.8717976888</v>
      </c>
      <c r="F132" s="5" t="n">
        <f aca="false">B132-E132</f>
        <v>247196.083756202</v>
      </c>
    </row>
    <row r="133" customFormat="false" ht="15" hidden="false" customHeight="false" outlineLevel="0" collapsed="false">
      <c r="A133" s="0" t="n">
        <v>128</v>
      </c>
      <c r="B133" s="5" t="n">
        <f aca="false">F132</f>
        <v>247196.083756202</v>
      </c>
      <c r="C133" s="5" t="n">
        <f aca="false">-PMT($B$2/12,$B$3*12,$B$1)</f>
        <v>1798.65157545826</v>
      </c>
      <c r="D133" s="5" t="n">
        <f aca="false">-IPMT($B$2/12,128,$B$3*12,$B$1)</f>
        <v>1235.98041878101</v>
      </c>
      <c r="E133" s="5" t="n">
        <f aca="false">-PPMT($B$2/12,128,$B$3*12,$B$1)</f>
        <v>562.671156677244</v>
      </c>
      <c r="F133" s="5" t="n">
        <f aca="false">B133-E133</f>
        <v>246633.412599524</v>
      </c>
    </row>
    <row r="134" customFormat="false" ht="15" hidden="false" customHeight="false" outlineLevel="0" collapsed="false">
      <c r="A134" s="0" t="n">
        <v>129</v>
      </c>
      <c r="B134" s="5" t="n">
        <f aca="false">F133</f>
        <v>246633.412599524</v>
      </c>
      <c r="C134" s="5" t="n">
        <f aca="false">-PMT($B$2/12,$B$3*12,$B$1)</f>
        <v>1798.65157545826</v>
      </c>
      <c r="D134" s="5" t="n">
        <f aca="false">-IPMT($B$2/12,129,$B$3*12,$B$1)</f>
        <v>1233.16706299763</v>
      </c>
      <c r="E134" s="5" t="n">
        <f aca="false">-PPMT($B$2/12,129,$B$3*12,$B$1)</f>
        <v>565.48451246063</v>
      </c>
      <c r="F134" s="5" t="n">
        <f aca="false">B134-E134</f>
        <v>246067.928087064</v>
      </c>
    </row>
    <row r="135" customFormat="false" ht="15" hidden="false" customHeight="false" outlineLevel="0" collapsed="false">
      <c r="A135" s="0" t="n">
        <v>130</v>
      </c>
      <c r="B135" s="5" t="n">
        <f aca="false">F134</f>
        <v>246067.928087064</v>
      </c>
      <c r="C135" s="5" t="n">
        <f aca="false">-PMT($B$2/12,$B$3*12,$B$1)</f>
        <v>1798.65157545826</v>
      </c>
      <c r="D135" s="5" t="n">
        <f aca="false">-IPMT($B$2/12,130,$B$3*12,$B$1)</f>
        <v>1230.33964043532</v>
      </c>
      <c r="E135" s="5" t="n">
        <f aca="false">-PPMT($B$2/12,130,$B$3*12,$B$1)</f>
        <v>568.311935022933</v>
      </c>
      <c r="F135" s="5" t="n">
        <f aca="false">B135-E135</f>
        <v>245499.616152041</v>
      </c>
    </row>
    <row r="136" customFormat="false" ht="15" hidden="false" customHeight="false" outlineLevel="0" collapsed="false">
      <c r="A136" s="0" t="n">
        <v>131</v>
      </c>
      <c r="B136" s="5" t="n">
        <f aca="false">F135</f>
        <v>245499.616152041</v>
      </c>
      <c r="C136" s="5" t="n">
        <f aca="false">-PMT($B$2/12,$B$3*12,$B$1)</f>
        <v>1798.65157545826</v>
      </c>
      <c r="D136" s="5" t="n">
        <f aca="false">-IPMT($B$2/12,131,$B$3*12,$B$1)</f>
        <v>1227.49808076021</v>
      </c>
      <c r="E136" s="5" t="n">
        <f aca="false">-PPMT($B$2/12,131,$B$3*12,$B$1)</f>
        <v>571.153494698048</v>
      </c>
      <c r="F136" s="5" t="n">
        <f aca="false">B136-E136</f>
        <v>244928.462657343</v>
      </c>
    </row>
    <row r="137" customFormat="false" ht="15" hidden="false" customHeight="false" outlineLevel="0" collapsed="false">
      <c r="A137" s="0" t="n">
        <v>132</v>
      </c>
      <c r="B137" s="5" t="n">
        <f aca="false">F136</f>
        <v>244928.462657343</v>
      </c>
      <c r="C137" s="5" t="n">
        <f aca="false">-PMT($B$2/12,$B$3*12,$B$1)</f>
        <v>1798.65157545826</v>
      </c>
      <c r="D137" s="5" t="n">
        <f aca="false">-IPMT($B$2/12,132,$B$3*12,$B$1)</f>
        <v>1224.64231328672</v>
      </c>
      <c r="E137" s="5" t="n">
        <f aca="false">-PPMT($B$2/12,132,$B$3*12,$B$1)</f>
        <v>574.009262171538</v>
      </c>
      <c r="F137" s="5" t="n">
        <f aca="false">B137-E137</f>
        <v>244354.453395171</v>
      </c>
    </row>
    <row r="138" customFormat="false" ht="15" hidden="false" customHeight="false" outlineLevel="0" collapsed="false">
      <c r="A138" s="0" t="n">
        <v>133</v>
      </c>
      <c r="B138" s="5" t="n">
        <f aca="false">F137</f>
        <v>244354.453395171</v>
      </c>
      <c r="C138" s="5" t="n">
        <f aca="false">-PMT($B$2/12,$B$3*12,$B$1)</f>
        <v>1798.65157545826</v>
      </c>
      <c r="D138" s="5" t="n">
        <f aca="false">-IPMT($B$2/12,133,$B$3*12,$B$1)</f>
        <v>1221.77226697586</v>
      </c>
      <c r="E138" s="5" t="n">
        <f aca="false">-PPMT($B$2/12,133,$B$3*12,$B$1)</f>
        <v>576.879308482396</v>
      </c>
      <c r="F138" s="5" t="n">
        <f aca="false">B138-E138</f>
        <v>243777.574086689</v>
      </c>
    </row>
    <row r="139" customFormat="false" ht="15" hidden="false" customHeight="false" outlineLevel="0" collapsed="false">
      <c r="A139" s="0" t="n">
        <v>134</v>
      </c>
      <c r="B139" s="5" t="n">
        <f aca="false">F138</f>
        <v>243777.574086689</v>
      </c>
      <c r="C139" s="5" t="n">
        <f aca="false">-PMT($B$2/12,$B$3*12,$B$1)</f>
        <v>1798.65157545826</v>
      </c>
      <c r="D139" s="5" t="n">
        <f aca="false">-IPMT($B$2/12,134,$B$3*12,$B$1)</f>
        <v>1218.88787043345</v>
      </c>
      <c r="E139" s="5" t="n">
        <f aca="false">-PPMT($B$2/12,134,$B$3*12,$B$1)</f>
        <v>579.763705024808</v>
      </c>
      <c r="F139" s="5" t="n">
        <f aca="false">B139-E139</f>
        <v>243197.810381664</v>
      </c>
    </row>
    <row r="140" customFormat="false" ht="15" hidden="false" customHeight="false" outlineLevel="0" collapsed="false">
      <c r="A140" s="0" t="n">
        <v>135</v>
      </c>
      <c r="B140" s="5" t="n">
        <f aca="false">F139</f>
        <v>243197.810381664</v>
      </c>
      <c r="C140" s="5" t="n">
        <f aca="false">-PMT($B$2/12,$B$3*12,$B$1)</f>
        <v>1798.65157545826</v>
      </c>
      <c r="D140" s="5" t="n">
        <f aca="false">-IPMT($B$2/12,135,$B$3*12,$B$1)</f>
        <v>1215.98905190833</v>
      </c>
      <c r="E140" s="5" t="n">
        <f aca="false">-PPMT($B$2/12,135,$B$3*12,$B$1)</f>
        <v>582.662523549932</v>
      </c>
      <c r="F140" s="5" t="n">
        <f aca="false">B140-E140</f>
        <v>242615.147858114</v>
      </c>
    </row>
    <row r="141" customFormat="false" ht="15" hidden="false" customHeight="false" outlineLevel="0" collapsed="false">
      <c r="A141" s="0" t="n">
        <v>136</v>
      </c>
      <c r="B141" s="5" t="n">
        <f aca="false">F140</f>
        <v>242615.147858114</v>
      </c>
      <c r="C141" s="5" t="n">
        <f aca="false">-PMT($B$2/12,$B$3*12,$B$1)</f>
        <v>1798.65157545826</v>
      </c>
      <c r="D141" s="5" t="n">
        <f aca="false">-IPMT($B$2/12,136,$B$3*12,$B$1)</f>
        <v>1213.07573929058</v>
      </c>
      <c r="E141" s="5" t="n">
        <f aca="false">-PPMT($B$2/12,136,$B$3*12,$B$1)</f>
        <v>585.575836167681</v>
      </c>
      <c r="F141" s="5" t="n">
        <f aca="false">B141-E141</f>
        <v>242029.572021946</v>
      </c>
    </row>
    <row r="142" customFormat="false" ht="15" hidden="false" customHeight="false" outlineLevel="0" collapsed="false">
      <c r="A142" s="0" t="n">
        <v>137</v>
      </c>
      <c r="B142" s="5" t="n">
        <f aca="false">F141</f>
        <v>242029.572021946</v>
      </c>
      <c r="C142" s="5" t="n">
        <f aca="false">-PMT($B$2/12,$B$3*12,$B$1)</f>
        <v>1798.65157545826</v>
      </c>
      <c r="D142" s="5" t="n">
        <f aca="false">-IPMT($B$2/12,137,$B$3*12,$B$1)</f>
        <v>1210.14786010974</v>
      </c>
      <c r="E142" s="5" t="n">
        <f aca="false">-PPMT($B$2/12,137,$B$3*12,$B$1)</f>
        <v>588.503715348519</v>
      </c>
      <c r="F142" s="5" t="n">
        <f aca="false">B142-E142</f>
        <v>241441.068306598</v>
      </c>
    </row>
    <row r="143" customFormat="false" ht="15" hidden="false" customHeight="false" outlineLevel="0" collapsed="false">
      <c r="A143" s="0" t="n">
        <v>138</v>
      </c>
      <c r="B143" s="5" t="n">
        <f aca="false">F142</f>
        <v>241441.068306598</v>
      </c>
      <c r="C143" s="5" t="n">
        <f aca="false">-PMT($B$2/12,$B$3*12,$B$1)</f>
        <v>1798.65157545826</v>
      </c>
      <c r="D143" s="5" t="n">
        <f aca="false">-IPMT($B$2/12,138,$B$3*12,$B$1)</f>
        <v>1207.205341533</v>
      </c>
      <c r="E143" s="5" t="n">
        <f aca="false">-PPMT($B$2/12,138,$B$3*12,$B$1)</f>
        <v>591.446233925262</v>
      </c>
      <c r="F143" s="5" t="n">
        <f aca="false">B143-E143</f>
        <v>240849.622072673</v>
      </c>
    </row>
    <row r="144" customFormat="false" ht="15" hidden="false" customHeight="false" outlineLevel="0" collapsed="false">
      <c r="A144" s="0" t="n">
        <v>139</v>
      </c>
      <c r="B144" s="5" t="n">
        <f aca="false">F143</f>
        <v>240849.622072673</v>
      </c>
      <c r="C144" s="5" t="n">
        <f aca="false">-PMT($B$2/12,$B$3*12,$B$1)</f>
        <v>1798.65157545826</v>
      </c>
      <c r="D144" s="5" t="n">
        <f aca="false">-IPMT($B$2/12,139,$B$3*12,$B$1)</f>
        <v>1204.24811036337</v>
      </c>
      <c r="E144" s="5" t="n">
        <f aca="false">-PPMT($B$2/12,139,$B$3*12,$B$1)</f>
        <v>594.403465094888</v>
      </c>
      <c r="F144" s="5" t="n">
        <f aca="false">B144-E144</f>
        <v>240255.218607578</v>
      </c>
    </row>
    <row r="145" customFormat="false" ht="15" hidden="false" customHeight="false" outlineLevel="0" collapsed="false">
      <c r="A145" s="0" t="n">
        <v>140</v>
      </c>
      <c r="B145" s="5" t="n">
        <f aca="false">F144</f>
        <v>240255.218607578</v>
      </c>
      <c r="C145" s="5" t="n">
        <f aca="false">-PMT($B$2/12,$B$3*12,$B$1)</f>
        <v>1798.65157545826</v>
      </c>
      <c r="D145" s="5" t="n">
        <f aca="false">-IPMT($B$2/12,140,$B$3*12,$B$1)</f>
        <v>1201.27609303789</v>
      </c>
      <c r="E145" s="5" t="n">
        <f aca="false">-PPMT($B$2/12,140,$B$3*12,$B$1)</f>
        <v>597.375482420363</v>
      </c>
      <c r="F145" s="5" t="n">
        <f aca="false">B145-E145</f>
        <v>239657.843125157</v>
      </c>
    </row>
    <row r="146" customFormat="false" ht="15" hidden="false" customHeight="false" outlineLevel="0" collapsed="false">
      <c r="A146" s="0" t="n">
        <v>141</v>
      </c>
      <c r="B146" s="5" t="n">
        <f aca="false">F145</f>
        <v>239657.843125157</v>
      </c>
      <c r="C146" s="5" t="n">
        <f aca="false">-PMT($B$2/12,$B$3*12,$B$1)</f>
        <v>1798.65157545826</v>
      </c>
      <c r="D146" s="5" t="n">
        <f aca="false">-IPMT($B$2/12,141,$B$3*12,$B$1)</f>
        <v>1198.28921562579</v>
      </c>
      <c r="E146" s="5" t="n">
        <f aca="false">-PPMT($B$2/12,141,$B$3*12,$B$1)</f>
        <v>600.362359832465</v>
      </c>
      <c r="F146" s="5" t="n">
        <f aca="false">B146-E146</f>
        <v>239057.480765325</v>
      </c>
    </row>
    <row r="147" customFormat="false" ht="15" hidden="false" customHeight="false" outlineLevel="0" collapsed="false">
      <c r="A147" s="0" t="n">
        <v>142</v>
      </c>
      <c r="B147" s="5" t="n">
        <f aca="false">F146</f>
        <v>239057.480765325</v>
      </c>
      <c r="C147" s="5" t="n">
        <f aca="false">-PMT($B$2/12,$B$3*12,$B$1)</f>
        <v>1798.65157545826</v>
      </c>
      <c r="D147" s="5" t="n">
        <f aca="false">-IPMT($B$2/12,142,$B$3*12,$B$1)</f>
        <v>1195.28740382663</v>
      </c>
      <c r="E147" s="5" t="n">
        <f aca="false">-PPMT($B$2/12,142,$B$3*12,$B$1)</f>
        <v>603.364171631627</v>
      </c>
      <c r="F147" s="5" t="n">
        <f aca="false">B147-E147</f>
        <v>238454.116593693</v>
      </c>
    </row>
    <row r="148" customFormat="false" ht="15" hidden="false" customHeight="false" outlineLevel="0" collapsed="false">
      <c r="A148" s="0" t="n">
        <v>143</v>
      </c>
      <c r="B148" s="5" t="n">
        <f aca="false">F147</f>
        <v>238454.116593693</v>
      </c>
      <c r="C148" s="5" t="n">
        <f aca="false">-PMT($B$2/12,$B$3*12,$B$1)</f>
        <v>1798.65157545826</v>
      </c>
      <c r="D148" s="5" t="n">
        <f aca="false">-IPMT($B$2/12,143,$B$3*12,$B$1)</f>
        <v>1192.27058296847</v>
      </c>
      <c r="E148" s="5" t="n">
        <f aca="false">-PPMT($B$2/12,143,$B$3*12,$B$1)</f>
        <v>606.380992489785</v>
      </c>
      <c r="F148" s="5" t="n">
        <f aca="false">B148-E148</f>
        <v>237847.735601203</v>
      </c>
    </row>
    <row r="149" customFormat="false" ht="15" hidden="false" customHeight="false" outlineLevel="0" collapsed="false">
      <c r="A149" s="0" t="n">
        <v>144</v>
      </c>
      <c r="B149" s="5" t="n">
        <f aca="false">F148</f>
        <v>237847.735601203</v>
      </c>
      <c r="C149" s="5" t="n">
        <f aca="false">-PMT($B$2/12,$B$3*12,$B$1)</f>
        <v>1798.65157545826</v>
      </c>
      <c r="D149" s="5" t="n">
        <f aca="false">-IPMT($B$2/12,144,$B$3*12,$B$1)</f>
        <v>1189.23867800602</v>
      </c>
      <c r="E149" s="5" t="n">
        <f aca="false">-PPMT($B$2/12,144,$B$3*12,$B$1)</f>
        <v>609.412897452234</v>
      </c>
      <c r="F149" s="5" t="n">
        <f aca="false">B149-E149</f>
        <v>237238.322703751</v>
      </c>
    </row>
    <row r="150" customFormat="false" ht="15" hidden="false" customHeight="false" outlineLevel="0" collapsed="false">
      <c r="A150" s="0" t="n">
        <v>145</v>
      </c>
      <c r="B150" s="5" t="n">
        <f aca="false">F149</f>
        <v>237238.322703751</v>
      </c>
      <c r="C150" s="5" t="n">
        <f aca="false">-PMT($B$2/12,$B$3*12,$B$1)</f>
        <v>1798.65157545826</v>
      </c>
      <c r="D150" s="5" t="n">
        <f aca="false">-IPMT($B$2/12,145,$B$3*12,$B$1)</f>
        <v>1186.19161351876</v>
      </c>
      <c r="E150" s="5" t="n">
        <f aca="false">-PPMT($B$2/12,145,$B$3*12,$B$1)</f>
        <v>612.459961939494</v>
      </c>
      <c r="F150" s="5" t="n">
        <f aca="false">B150-E150</f>
        <v>236625.862741812</v>
      </c>
    </row>
    <row r="151" customFormat="false" ht="15" hidden="false" customHeight="false" outlineLevel="0" collapsed="false">
      <c r="A151" s="0" t="n">
        <v>146</v>
      </c>
      <c r="B151" s="5" t="n">
        <f aca="false">F150</f>
        <v>236625.862741812</v>
      </c>
      <c r="C151" s="5" t="n">
        <f aca="false">-PMT($B$2/12,$B$3*12,$B$1)</f>
        <v>1798.65157545826</v>
      </c>
      <c r="D151" s="5" t="n">
        <f aca="false">-IPMT($B$2/12,146,$B$3*12,$B$1)</f>
        <v>1183.12931370907</v>
      </c>
      <c r="E151" s="5" t="n">
        <f aca="false">-PPMT($B$2/12,146,$B$3*12,$B$1)</f>
        <v>615.522261749192</v>
      </c>
      <c r="F151" s="5" t="n">
        <f aca="false">B151-E151</f>
        <v>236010.340480062</v>
      </c>
    </row>
    <row r="152" customFormat="false" ht="15" hidden="false" customHeight="false" outlineLevel="0" collapsed="false">
      <c r="A152" s="0" t="n">
        <v>147</v>
      </c>
      <c r="B152" s="5" t="n">
        <f aca="false">F151</f>
        <v>236010.340480062</v>
      </c>
      <c r="C152" s="5" t="n">
        <f aca="false">-PMT($B$2/12,$B$3*12,$B$1)</f>
        <v>1798.65157545826</v>
      </c>
      <c r="D152" s="5" t="n">
        <f aca="false">-IPMT($B$2/12,147,$B$3*12,$B$1)</f>
        <v>1180.05170240032</v>
      </c>
      <c r="E152" s="5" t="n">
        <f aca="false">-PPMT($B$2/12,147,$B$3*12,$B$1)</f>
        <v>618.599873057938</v>
      </c>
      <c r="F152" s="5" t="n">
        <f aca="false">B152-E152</f>
        <v>235391.740607005</v>
      </c>
    </row>
    <row r="153" customFormat="false" ht="15" hidden="false" customHeight="false" outlineLevel="0" collapsed="false">
      <c r="A153" s="0" t="n">
        <v>148</v>
      </c>
      <c r="B153" s="5" t="n">
        <f aca="false">F152</f>
        <v>235391.740607005</v>
      </c>
      <c r="C153" s="5" t="n">
        <f aca="false">-PMT($B$2/12,$B$3*12,$B$1)</f>
        <v>1798.65157545826</v>
      </c>
      <c r="D153" s="5" t="n">
        <f aca="false">-IPMT($B$2/12,148,$B$3*12,$B$1)</f>
        <v>1176.95870303503</v>
      </c>
      <c r="E153" s="5" t="n">
        <f aca="false">-PPMT($B$2/12,148,$B$3*12,$B$1)</f>
        <v>621.692872423228</v>
      </c>
      <c r="F153" s="5" t="n">
        <f aca="false">B153-E153</f>
        <v>234770.047734581</v>
      </c>
    </row>
    <row r="154" customFormat="false" ht="15" hidden="false" customHeight="false" outlineLevel="0" collapsed="false">
      <c r="A154" s="0" t="n">
        <v>149</v>
      </c>
      <c r="B154" s="5" t="n">
        <f aca="false">F153</f>
        <v>234770.047734581</v>
      </c>
      <c r="C154" s="5" t="n">
        <f aca="false">-PMT($B$2/12,$B$3*12,$B$1)</f>
        <v>1798.65157545826</v>
      </c>
      <c r="D154" s="5" t="n">
        <f aca="false">-IPMT($B$2/12,149,$B$3*12,$B$1)</f>
        <v>1173.85023867291</v>
      </c>
      <c r="E154" s="5" t="n">
        <f aca="false">-PPMT($B$2/12,149,$B$3*12,$B$1)</f>
        <v>624.801336785344</v>
      </c>
      <c r="F154" s="5" t="n">
        <f aca="false">B154-E154</f>
        <v>234145.246397796</v>
      </c>
    </row>
    <row r="155" customFormat="false" ht="15" hidden="false" customHeight="false" outlineLevel="0" collapsed="false">
      <c r="A155" s="0" t="n">
        <v>150</v>
      </c>
      <c r="B155" s="5" t="n">
        <f aca="false">F154</f>
        <v>234145.246397796</v>
      </c>
      <c r="C155" s="5" t="n">
        <f aca="false">-PMT($B$2/12,$B$3*12,$B$1)</f>
        <v>1798.65157545826</v>
      </c>
      <c r="D155" s="5" t="n">
        <f aca="false">-IPMT($B$2/12,150,$B$3*12,$B$1)</f>
        <v>1170.72623198899</v>
      </c>
      <c r="E155" s="5" t="n">
        <f aca="false">-PPMT($B$2/12,150,$B$3*12,$B$1)</f>
        <v>627.92534346927</v>
      </c>
      <c r="F155" s="5" t="n">
        <f aca="false">B155-E155</f>
        <v>233517.321054327</v>
      </c>
    </row>
    <row r="156" customFormat="false" ht="15" hidden="false" customHeight="false" outlineLevel="0" collapsed="false">
      <c r="A156" s="0" t="n">
        <v>151</v>
      </c>
      <c r="B156" s="5" t="n">
        <f aca="false">F155</f>
        <v>233517.321054327</v>
      </c>
      <c r="C156" s="5" t="n">
        <f aca="false">-PMT($B$2/12,$B$3*12,$B$1)</f>
        <v>1798.65157545826</v>
      </c>
      <c r="D156" s="5" t="n">
        <f aca="false">-IPMT($B$2/12,151,$B$3*12,$B$1)</f>
        <v>1167.58660527164</v>
      </c>
      <c r="E156" s="5" t="n">
        <f aca="false">-PPMT($B$2/12,151,$B$3*12,$B$1)</f>
        <v>631.064970186617</v>
      </c>
      <c r="F156" s="5" t="n">
        <f aca="false">B156-E156</f>
        <v>232886.25608414</v>
      </c>
    </row>
    <row r="157" customFormat="false" ht="15" hidden="false" customHeight="false" outlineLevel="0" collapsed="false">
      <c r="A157" s="0" t="n">
        <v>152</v>
      </c>
      <c r="B157" s="5" t="n">
        <f aca="false">F156</f>
        <v>232886.25608414</v>
      </c>
      <c r="C157" s="5" t="n">
        <f aca="false">-PMT($B$2/12,$B$3*12,$B$1)</f>
        <v>1798.65157545826</v>
      </c>
      <c r="D157" s="5" t="n">
        <f aca="false">-IPMT($B$2/12,152,$B$3*12,$B$1)</f>
        <v>1164.43128042071</v>
      </c>
      <c r="E157" s="5" t="n">
        <f aca="false">-PPMT($B$2/12,152,$B$3*12,$B$1)</f>
        <v>634.22029503755</v>
      </c>
      <c r="F157" s="5" t="n">
        <f aca="false">B157-E157</f>
        <v>232252.035789103</v>
      </c>
    </row>
    <row r="158" customFormat="false" ht="15" hidden="false" customHeight="false" outlineLevel="0" collapsed="false">
      <c r="A158" s="0" t="n">
        <v>153</v>
      </c>
      <c r="B158" s="5" t="n">
        <f aca="false">F157</f>
        <v>232252.035789103</v>
      </c>
      <c r="C158" s="5" t="n">
        <f aca="false">-PMT($B$2/12,$B$3*12,$B$1)</f>
        <v>1798.65157545826</v>
      </c>
      <c r="D158" s="5" t="n">
        <f aca="false">-IPMT($B$2/12,153,$B$3*12,$B$1)</f>
        <v>1161.26017894552</v>
      </c>
      <c r="E158" s="5" t="n">
        <f aca="false">-PPMT($B$2/12,153,$B$3*12,$B$1)</f>
        <v>637.391396512737</v>
      </c>
      <c r="F158" s="5" t="n">
        <f aca="false">B158-E158</f>
        <v>231614.64439259</v>
      </c>
    </row>
    <row r="159" customFormat="false" ht="15" hidden="false" customHeight="false" outlineLevel="0" collapsed="false">
      <c r="A159" s="0" t="n">
        <v>154</v>
      </c>
      <c r="B159" s="5" t="n">
        <f aca="false">F158</f>
        <v>231614.64439259</v>
      </c>
      <c r="C159" s="5" t="n">
        <f aca="false">-PMT($B$2/12,$B$3*12,$B$1)</f>
        <v>1798.65157545826</v>
      </c>
      <c r="D159" s="5" t="n">
        <f aca="false">-IPMT($B$2/12,154,$B$3*12,$B$1)</f>
        <v>1158.07322196296</v>
      </c>
      <c r="E159" s="5" t="n">
        <f aca="false">-PPMT($B$2/12,154,$B$3*12,$B$1)</f>
        <v>640.578353495301</v>
      </c>
      <c r="F159" s="5" t="n">
        <f aca="false">B159-E159</f>
        <v>230974.066039094</v>
      </c>
    </row>
    <row r="160" customFormat="false" ht="15" hidden="false" customHeight="false" outlineLevel="0" collapsed="false">
      <c r="A160" s="0" t="n">
        <v>155</v>
      </c>
      <c r="B160" s="5" t="n">
        <f aca="false">F159</f>
        <v>230974.066039094</v>
      </c>
      <c r="C160" s="5" t="n">
        <f aca="false">-PMT($B$2/12,$B$3*12,$B$1)</f>
        <v>1798.65157545826</v>
      </c>
      <c r="D160" s="5" t="n">
        <f aca="false">-IPMT($B$2/12,155,$B$3*12,$B$1)</f>
        <v>1154.87033019548</v>
      </c>
      <c r="E160" s="5" t="n">
        <f aca="false">-PPMT($B$2/12,155,$B$3*12,$B$1)</f>
        <v>643.781245262777</v>
      </c>
      <c r="F160" s="5" t="n">
        <f aca="false">B160-E160</f>
        <v>230330.284793832</v>
      </c>
    </row>
    <row r="161" customFormat="false" ht="15" hidden="false" customHeight="false" outlineLevel="0" collapsed="false">
      <c r="A161" s="0" t="n">
        <v>156</v>
      </c>
      <c r="B161" s="5" t="n">
        <f aca="false">F160</f>
        <v>230330.284793832</v>
      </c>
      <c r="C161" s="5" t="n">
        <f aca="false">-PMT($B$2/12,$B$3*12,$B$1)</f>
        <v>1798.65157545826</v>
      </c>
      <c r="D161" s="5" t="n">
        <f aca="false">-IPMT($B$2/12,156,$B$3*12,$B$1)</f>
        <v>1151.65142396917</v>
      </c>
      <c r="E161" s="5" t="n">
        <f aca="false">-PPMT($B$2/12,156,$B$3*12,$B$1)</f>
        <v>647.000151489091</v>
      </c>
      <c r="F161" s="5" t="n">
        <f aca="false">B161-E161</f>
        <v>229683.284642343</v>
      </c>
    </row>
    <row r="162" customFormat="false" ht="15" hidden="false" customHeight="false" outlineLevel="0" collapsed="false">
      <c r="A162" s="0" t="n">
        <v>157</v>
      </c>
      <c r="B162" s="5" t="n">
        <f aca="false">F161</f>
        <v>229683.284642343</v>
      </c>
      <c r="C162" s="5" t="n">
        <f aca="false">-PMT($B$2/12,$B$3*12,$B$1)</f>
        <v>1798.65157545826</v>
      </c>
      <c r="D162" s="5" t="n">
        <f aca="false">-IPMT($B$2/12,157,$B$3*12,$B$1)</f>
        <v>1148.41642321172</v>
      </c>
      <c r="E162" s="5" t="n">
        <f aca="false">-PPMT($B$2/12,157,$B$3*12,$B$1)</f>
        <v>650.235152246537</v>
      </c>
      <c r="F162" s="5" t="n">
        <f aca="false">B162-E162</f>
        <v>229033.049490096</v>
      </c>
    </row>
    <row r="163" customFormat="false" ht="15" hidden="false" customHeight="false" outlineLevel="0" collapsed="false">
      <c r="A163" s="0" t="n">
        <v>158</v>
      </c>
      <c r="B163" s="5" t="n">
        <f aca="false">F162</f>
        <v>229033.049490096</v>
      </c>
      <c r="C163" s="5" t="n">
        <f aca="false">-PMT($B$2/12,$B$3*12,$B$1)</f>
        <v>1798.65157545826</v>
      </c>
      <c r="D163" s="5" t="n">
        <f aca="false">-IPMT($B$2/12,158,$B$3*12,$B$1)</f>
        <v>1145.16524745049</v>
      </c>
      <c r="E163" s="5" t="n">
        <f aca="false">-PPMT($B$2/12,158,$B$3*12,$B$1)</f>
        <v>653.486328007769</v>
      </c>
      <c r="F163" s="5" t="n">
        <f aca="false">B163-E163</f>
        <v>228379.563162088</v>
      </c>
    </row>
    <row r="164" customFormat="false" ht="15" hidden="false" customHeight="false" outlineLevel="0" collapsed="false">
      <c r="A164" s="0" t="n">
        <v>159</v>
      </c>
      <c r="B164" s="5" t="n">
        <f aca="false">F163</f>
        <v>228379.563162088</v>
      </c>
      <c r="C164" s="5" t="n">
        <f aca="false">-PMT($B$2/12,$B$3*12,$B$1)</f>
        <v>1798.65157545826</v>
      </c>
      <c r="D164" s="5" t="n">
        <f aca="false">-IPMT($B$2/12,159,$B$3*12,$B$1)</f>
        <v>1141.89781581045</v>
      </c>
      <c r="E164" s="5" t="n">
        <f aca="false">-PPMT($B$2/12,159,$B$3*12,$B$1)</f>
        <v>656.753759647808</v>
      </c>
      <c r="F164" s="5" t="n">
        <f aca="false">B164-E164</f>
        <v>227722.80940244</v>
      </c>
    </row>
    <row r="165" customFormat="false" ht="15" hidden="false" customHeight="false" outlineLevel="0" collapsed="false">
      <c r="A165" s="0" t="n">
        <v>160</v>
      </c>
      <c r="B165" s="5" t="n">
        <f aca="false">F164</f>
        <v>227722.80940244</v>
      </c>
      <c r="C165" s="5" t="n">
        <f aca="false">-PMT($B$2/12,$B$3*12,$B$1)</f>
        <v>1798.65157545826</v>
      </c>
      <c r="D165" s="5" t="n">
        <f aca="false">-IPMT($B$2/12,160,$B$3*12,$B$1)</f>
        <v>1138.61404701221</v>
      </c>
      <c r="E165" s="5" t="n">
        <f aca="false">-PPMT($B$2/12,160,$B$3*12,$B$1)</f>
        <v>660.037528446047</v>
      </c>
      <c r="F165" s="5" t="n">
        <f aca="false">B165-E165</f>
        <v>227062.771873994</v>
      </c>
    </row>
    <row r="166" customFormat="false" ht="15" hidden="false" customHeight="false" outlineLevel="0" collapsed="false">
      <c r="A166" s="0" t="n">
        <v>161</v>
      </c>
      <c r="B166" s="5" t="n">
        <f aca="false">F165</f>
        <v>227062.771873994</v>
      </c>
      <c r="C166" s="5" t="n">
        <f aca="false">-PMT($B$2/12,$B$3*12,$B$1)</f>
        <v>1798.65157545826</v>
      </c>
      <c r="D166" s="5" t="n">
        <f aca="false">-IPMT($B$2/12,161,$B$3*12,$B$1)</f>
        <v>1135.31385936998</v>
      </c>
      <c r="E166" s="5" t="n">
        <f aca="false">-PPMT($B$2/12,161,$B$3*12,$B$1)</f>
        <v>663.337716088277</v>
      </c>
      <c r="F166" s="5" t="n">
        <f aca="false">B166-E166</f>
        <v>226399.434157906</v>
      </c>
    </row>
    <row r="167" customFormat="false" ht="15" hidden="false" customHeight="false" outlineLevel="0" collapsed="false">
      <c r="A167" s="0" t="n">
        <v>162</v>
      </c>
      <c r="B167" s="5" t="n">
        <f aca="false">F166</f>
        <v>226399.434157906</v>
      </c>
      <c r="C167" s="5" t="n">
        <f aca="false">-PMT($B$2/12,$B$3*12,$B$1)</f>
        <v>1798.65157545826</v>
      </c>
      <c r="D167" s="5" t="n">
        <f aca="false">-IPMT($B$2/12,162,$B$3*12,$B$1)</f>
        <v>1131.99717078954</v>
      </c>
      <c r="E167" s="5" t="n">
        <f aca="false">-PPMT($B$2/12,162,$B$3*12,$B$1)</f>
        <v>666.654404668719</v>
      </c>
      <c r="F167" s="5" t="n">
        <f aca="false">B167-E167</f>
        <v>225732.779753237</v>
      </c>
    </row>
    <row r="168" customFormat="false" ht="15" hidden="false" customHeight="false" outlineLevel="0" collapsed="false">
      <c r="A168" s="0" t="n">
        <v>163</v>
      </c>
      <c r="B168" s="5" t="n">
        <f aca="false">F167</f>
        <v>225732.779753237</v>
      </c>
      <c r="C168" s="5" t="n">
        <f aca="false">-PMT($B$2/12,$B$3*12,$B$1)</f>
        <v>1798.65157545826</v>
      </c>
      <c r="D168" s="5" t="n">
        <f aca="false">-IPMT($B$2/12,163,$B$3*12,$B$1)</f>
        <v>1128.6638987662</v>
      </c>
      <c r="E168" s="5" t="n">
        <f aca="false">-PPMT($B$2/12,163,$B$3*12,$B$1)</f>
        <v>669.987676692062</v>
      </c>
      <c r="F168" s="5" t="n">
        <f aca="false">B168-E168</f>
        <v>225062.792076545</v>
      </c>
    </row>
    <row r="169" customFormat="false" ht="15" hidden="false" customHeight="false" outlineLevel="0" collapsed="false">
      <c r="A169" s="0" t="n">
        <v>164</v>
      </c>
      <c r="B169" s="5" t="n">
        <f aca="false">F168</f>
        <v>225062.792076545</v>
      </c>
      <c r="C169" s="5" t="n">
        <f aca="false">-PMT($B$2/12,$B$3*12,$B$1)</f>
        <v>1798.65157545826</v>
      </c>
      <c r="D169" s="5" t="n">
        <f aca="false">-IPMT($B$2/12,164,$B$3*12,$B$1)</f>
        <v>1125.31396038274</v>
      </c>
      <c r="E169" s="5" t="n">
        <f aca="false">-PPMT($B$2/12,164,$B$3*12,$B$1)</f>
        <v>673.337615075522</v>
      </c>
      <c r="F169" s="5" t="n">
        <f aca="false">B169-E169</f>
        <v>224389.45446147</v>
      </c>
    </row>
    <row r="170" customFormat="false" ht="15" hidden="false" customHeight="false" outlineLevel="0" collapsed="false">
      <c r="A170" s="0" t="n">
        <v>165</v>
      </c>
      <c r="B170" s="5" t="n">
        <f aca="false">F169</f>
        <v>224389.45446147</v>
      </c>
      <c r="C170" s="5" t="n">
        <f aca="false">-PMT($B$2/12,$B$3*12,$B$1)</f>
        <v>1798.65157545826</v>
      </c>
      <c r="D170" s="5" t="n">
        <f aca="false">-IPMT($B$2/12,165,$B$3*12,$B$1)</f>
        <v>1121.94727230736</v>
      </c>
      <c r="E170" s="5" t="n">
        <f aca="false">-PPMT($B$2/12,165,$B$3*12,$B$1)</f>
        <v>676.7043031509</v>
      </c>
      <c r="F170" s="5" t="n">
        <f aca="false">B170-E170</f>
        <v>223712.750158319</v>
      </c>
    </row>
    <row r="171" customFormat="false" ht="15" hidden="false" customHeight="false" outlineLevel="0" collapsed="false">
      <c r="A171" s="0" t="n">
        <v>166</v>
      </c>
      <c r="B171" s="5" t="n">
        <f aca="false">F170</f>
        <v>223712.750158319</v>
      </c>
      <c r="C171" s="5" t="n">
        <f aca="false">-PMT($B$2/12,$B$3*12,$B$1)</f>
        <v>1798.65157545826</v>
      </c>
      <c r="D171" s="5" t="n">
        <f aca="false">-IPMT($B$2/12,166,$B$3*12,$B$1)</f>
        <v>1118.5637507916</v>
      </c>
      <c r="E171" s="5" t="n">
        <f aca="false">-PPMT($B$2/12,166,$B$3*12,$B$1)</f>
        <v>680.087824666654</v>
      </c>
      <c r="F171" s="5" t="n">
        <f aca="false">B171-E171</f>
        <v>223032.662333652</v>
      </c>
    </row>
    <row r="172" customFormat="false" ht="15" hidden="false" customHeight="false" outlineLevel="0" collapsed="false">
      <c r="A172" s="0" t="n">
        <v>167</v>
      </c>
      <c r="B172" s="5" t="n">
        <f aca="false">F171</f>
        <v>223032.662333652</v>
      </c>
      <c r="C172" s="5" t="n">
        <f aca="false">-PMT($B$2/12,$B$3*12,$B$1)</f>
        <v>1798.65157545826</v>
      </c>
      <c r="D172" s="5" t="n">
        <f aca="false">-IPMT($B$2/12,167,$B$3*12,$B$1)</f>
        <v>1115.16331166827</v>
      </c>
      <c r="E172" s="5" t="n">
        <f aca="false">-PPMT($B$2/12,167,$B$3*12,$B$1)</f>
        <v>683.488263789987</v>
      </c>
      <c r="F172" s="5" t="n">
        <f aca="false">B172-E172</f>
        <v>222349.174069862</v>
      </c>
    </row>
    <row r="173" customFormat="false" ht="15" hidden="false" customHeight="false" outlineLevel="0" collapsed="false">
      <c r="A173" s="0" t="n">
        <v>168</v>
      </c>
      <c r="B173" s="5" t="n">
        <f aca="false">F172</f>
        <v>222349.174069862</v>
      </c>
      <c r="C173" s="5" t="n">
        <f aca="false">-PMT($B$2/12,$B$3*12,$B$1)</f>
        <v>1798.65157545826</v>
      </c>
      <c r="D173" s="5" t="n">
        <f aca="false">-IPMT($B$2/12,168,$B$3*12,$B$1)</f>
        <v>1111.74587034932</v>
      </c>
      <c r="E173" s="5" t="n">
        <f aca="false">-PPMT($B$2/12,168,$B$3*12,$B$1)</f>
        <v>686.905705108938</v>
      </c>
      <c r="F173" s="5" t="n">
        <f aca="false">B173-E173</f>
        <v>221662.268364753</v>
      </c>
    </row>
    <row r="174" customFormat="false" ht="15" hidden="false" customHeight="false" outlineLevel="0" collapsed="false">
      <c r="A174" s="0" t="n">
        <v>169</v>
      </c>
      <c r="B174" s="5" t="n">
        <f aca="false">F173</f>
        <v>221662.268364753</v>
      </c>
      <c r="C174" s="5" t="n">
        <f aca="false">-PMT($B$2/12,$B$3*12,$B$1)</f>
        <v>1798.65157545826</v>
      </c>
      <c r="D174" s="5" t="n">
        <f aca="false">-IPMT($B$2/12,169,$B$3*12,$B$1)</f>
        <v>1108.31134182378</v>
      </c>
      <c r="E174" s="5" t="n">
        <f aca="false">-PPMT($B$2/12,169,$B$3*12,$B$1)</f>
        <v>690.340233634482</v>
      </c>
      <c r="F174" s="5" t="n">
        <f aca="false">B174-E174</f>
        <v>220971.928131119</v>
      </c>
    </row>
    <row r="175" customFormat="false" ht="15" hidden="false" customHeight="false" outlineLevel="0" collapsed="false">
      <c r="A175" s="0" t="n">
        <v>170</v>
      </c>
      <c r="B175" s="5" t="n">
        <f aca="false">F174</f>
        <v>220971.928131119</v>
      </c>
      <c r="C175" s="5" t="n">
        <f aca="false">-PMT($B$2/12,$B$3*12,$B$1)</f>
        <v>1798.65157545826</v>
      </c>
      <c r="D175" s="5" t="n">
        <f aca="false">-IPMT($B$2/12,170,$B$3*12,$B$1)</f>
        <v>1104.8596406556</v>
      </c>
      <c r="E175" s="5" t="n">
        <f aca="false">-PPMT($B$2/12,170,$B$3*12,$B$1)</f>
        <v>693.791934802654</v>
      </c>
      <c r="F175" s="5" t="n">
        <f aca="false">B175-E175</f>
        <v>220278.136196316</v>
      </c>
    </row>
    <row r="176" customFormat="false" ht="15" hidden="false" customHeight="false" outlineLevel="0" collapsed="false">
      <c r="A176" s="0" t="n">
        <v>171</v>
      </c>
      <c r="B176" s="5" t="n">
        <f aca="false">F175</f>
        <v>220278.136196316</v>
      </c>
      <c r="C176" s="5" t="n">
        <f aca="false">-PMT($B$2/12,$B$3*12,$B$1)</f>
        <v>1798.65157545826</v>
      </c>
      <c r="D176" s="5" t="n">
        <f aca="false">-IPMT($B$2/12,171,$B$3*12,$B$1)</f>
        <v>1101.39068098159</v>
      </c>
      <c r="E176" s="5" t="n">
        <f aca="false">-PPMT($B$2/12,171,$B$3*12,$B$1)</f>
        <v>697.260894476667</v>
      </c>
      <c r="F176" s="5" t="n">
        <f aca="false">B176-E176</f>
        <v>219580.87530184</v>
      </c>
    </row>
    <row r="177" customFormat="false" ht="15" hidden="false" customHeight="false" outlineLevel="0" collapsed="false">
      <c r="A177" s="0" t="n">
        <v>172</v>
      </c>
      <c r="B177" s="5" t="n">
        <f aca="false">F176</f>
        <v>219580.87530184</v>
      </c>
      <c r="C177" s="5" t="n">
        <f aca="false">-PMT($B$2/12,$B$3*12,$B$1)</f>
        <v>1798.65157545826</v>
      </c>
      <c r="D177" s="5" t="n">
        <f aca="false">-IPMT($B$2/12,172,$B$3*12,$B$1)</f>
        <v>1097.90437650921</v>
      </c>
      <c r="E177" s="5" t="n">
        <f aca="false">-PPMT($B$2/12,172,$B$3*12,$B$1)</f>
        <v>700.747198949051</v>
      </c>
      <c r="F177" s="5" t="n">
        <f aca="false">B177-E177</f>
        <v>218880.12810289</v>
      </c>
    </row>
    <row r="178" customFormat="false" ht="15" hidden="false" customHeight="false" outlineLevel="0" collapsed="false">
      <c r="A178" s="0" t="n">
        <v>173</v>
      </c>
      <c r="B178" s="5" t="n">
        <f aca="false">F177</f>
        <v>218880.12810289</v>
      </c>
      <c r="C178" s="5" t="n">
        <f aca="false">-PMT($B$2/12,$B$3*12,$B$1)</f>
        <v>1798.65157545826</v>
      </c>
      <c r="D178" s="5" t="n">
        <f aca="false">-IPMT($B$2/12,173,$B$3*12,$B$1)</f>
        <v>1094.40064051446</v>
      </c>
      <c r="E178" s="5" t="n">
        <f aca="false">-PPMT($B$2/12,173,$B$3*12,$B$1)</f>
        <v>704.250934943796</v>
      </c>
      <c r="F178" s="5" t="n">
        <f aca="false">B178-E178</f>
        <v>218175.877167947</v>
      </c>
    </row>
    <row r="179" customFormat="false" ht="15" hidden="false" customHeight="false" outlineLevel="0" collapsed="false">
      <c r="A179" s="0" t="n">
        <v>174</v>
      </c>
      <c r="B179" s="5" t="n">
        <f aca="false">F178</f>
        <v>218175.877167947</v>
      </c>
      <c r="C179" s="5" t="n">
        <f aca="false">-PMT($B$2/12,$B$3*12,$B$1)</f>
        <v>1798.65157545826</v>
      </c>
      <c r="D179" s="5" t="n">
        <f aca="false">-IPMT($B$2/12,174,$B$3*12,$B$1)</f>
        <v>1090.87938583974</v>
      </c>
      <c r="E179" s="5" t="n">
        <f aca="false">-PPMT($B$2/12,174,$B$3*12,$B$1)</f>
        <v>707.772189618515</v>
      </c>
      <c r="F179" s="5" t="n">
        <f aca="false">B179-E179</f>
        <v>217468.104978328</v>
      </c>
    </row>
    <row r="180" customFormat="false" ht="15" hidden="false" customHeight="false" outlineLevel="0" collapsed="false">
      <c r="A180" s="0" t="n">
        <v>175</v>
      </c>
      <c r="B180" s="5" t="n">
        <f aca="false">F179</f>
        <v>217468.104978328</v>
      </c>
      <c r="C180" s="5" t="n">
        <f aca="false">-PMT($B$2/12,$B$3*12,$B$1)</f>
        <v>1798.65157545826</v>
      </c>
      <c r="D180" s="5" t="n">
        <f aca="false">-IPMT($B$2/12,175,$B$3*12,$B$1)</f>
        <v>1087.34052489165</v>
      </c>
      <c r="E180" s="5" t="n">
        <f aca="false">-PPMT($B$2/12,175,$B$3*12,$B$1)</f>
        <v>711.311050566608</v>
      </c>
      <c r="F180" s="5" t="n">
        <f aca="false">B180-E180</f>
        <v>216756.793927762</v>
      </c>
    </row>
    <row r="181" customFormat="false" ht="15" hidden="false" customHeight="false" outlineLevel="0" collapsed="false">
      <c r="A181" s="0" t="n">
        <v>176</v>
      </c>
      <c r="B181" s="5" t="n">
        <f aca="false">F180</f>
        <v>216756.793927762</v>
      </c>
      <c r="C181" s="5" t="n">
        <f aca="false">-PMT($B$2/12,$B$3*12,$B$1)</f>
        <v>1798.65157545826</v>
      </c>
      <c r="D181" s="5" t="n">
        <f aca="false">-IPMT($B$2/12,176,$B$3*12,$B$1)</f>
        <v>1083.78396963882</v>
      </c>
      <c r="E181" s="5" t="n">
        <f aca="false">-PPMT($B$2/12,176,$B$3*12,$B$1)</f>
        <v>714.86760581944</v>
      </c>
      <c r="F181" s="5" t="n">
        <f aca="false">B181-E181</f>
        <v>216041.926321942</v>
      </c>
    </row>
    <row r="182" customFormat="false" ht="15" hidden="false" customHeight="false" outlineLevel="0" collapsed="false">
      <c r="A182" s="0" t="n">
        <v>177</v>
      </c>
      <c r="B182" s="5" t="n">
        <f aca="false">F181</f>
        <v>216041.926321942</v>
      </c>
      <c r="C182" s="5" t="n">
        <f aca="false">-PMT($B$2/12,$B$3*12,$B$1)</f>
        <v>1798.65157545826</v>
      </c>
      <c r="D182" s="5" t="n">
        <f aca="false">-IPMT($B$2/12,177,$B$3*12,$B$1)</f>
        <v>1080.20963160972</v>
      </c>
      <c r="E182" s="5" t="n">
        <f aca="false">-PPMT($B$2/12,177,$B$3*12,$B$1)</f>
        <v>718.441943848537</v>
      </c>
      <c r="F182" s="5" t="n">
        <f aca="false">B182-E182</f>
        <v>215323.484378094</v>
      </c>
    </row>
    <row r="183" customFormat="false" ht="15" hidden="false" customHeight="false" outlineLevel="0" collapsed="false">
      <c r="A183" s="0" t="n">
        <v>178</v>
      </c>
      <c r="B183" s="5" t="n">
        <f aca="false">F182</f>
        <v>215323.484378094</v>
      </c>
      <c r="C183" s="5" t="n">
        <f aca="false">-PMT($B$2/12,$B$3*12,$B$1)</f>
        <v>1798.65157545826</v>
      </c>
      <c r="D183" s="5" t="n">
        <f aca="false">-IPMT($B$2/12,178,$B$3*12,$B$1)</f>
        <v>1076.61742189048</v>
      </c>
      <c r="E183" s="5" t="n">
        <f aca="false">-PPMT($B$2/12,178,$B$3*12,$B$1)</f>
        <v>722.03415356778</v>
      </c>
      <c r="F183" s="5" t="n">
        <f aca="false">B183-E183</f>
        <v>214601.450224526</v>
      </c>
    </row>
    <row r="184" customFormat="false" ht="15" hidden="false" customHeight="false" outlineLevel="0" collapsed="false">
      <c r="A184" s="0" t="n">
        <v>179</v>
      </c>
      <c r="B184" s="5" t="n">
        <f aca="false">F183</f>
        <v>214601.450224526</v>
      </c>
      <c r="C184" s="5" t="n">
        <f aca="false">-PMT($B$2/12,$B$3*12,$B$1)</f>
        <v>1798.65157545826</v>
      </c>
      <c r="D184" s="5" t="n">
        <f aca="false">-IPMT($B$2/12,179,$B$3*12,$B$1)</f>
        <v>1073.00725112264</v>
      </c>
      <c r="E184" s="5" t="n">
        <f aca="false">-PPMT($B$2/12,179,$B$3*12,$B$1)</f>
        <v>725.644324335619</v>
      </c>
      <c r="F184" s="5" t="n">
        <f aca="false">B184-E184</f>
        <v>213875.80590019</v>
      </c>
    </row>
    <row r="185" customFormat="false" ht="15" hidden="false" customHeight="false" outlineLevel="0" collapsed="false">
      <c r="A185" s="0" t="n">
        <v>180</v>
      </c>
      <c r="B185" s="5" t="n">
        <f aca="false">F184</f>
        <v>213875.80590019</v>
      </c>
      <c r="C185" s="5" t="n">
        <f aca="false">-PMT($B$2/12,$B$3*12,$B$1)</f>
        <v>1798.65157545826</v>
      </c>
      <c r="D185" s="5" t="n">
        <f aca="false">-IPMT($B$2/12,180,$B$3*12,$B$1)</f>
        <v>1069.37902950096</v>
      </c>
      <c r="E185" s="5" t="n">
        <f aca="false">-PPMT($B$2/12,180,$B$3*12,$B$1)</f>
        <v>729.272545957297</v>
      </c>
      <c r="F185" s="5" t="n">
        <f aca="false">B185-E185</f>
        <v>213146.533354233</v>
      </c>
    </row>
    <row r="186" customFormat="false" ht="15" hidden="false" customHeight="false" outlineLevel="0" collapsed="false">
      <c r="A186" s="0" t="n">
        <v>181</v>
      </c>
      <c r="B186" s="5" t="n">
        <f aca="false">F185</f>
        <v>213146.533354233</v>
      </c>
      <c r="C186" s="5" t="n">
        <f aca="false">-PMT($B$2/12,$B$3*12,$B$1)</f>
        <v>1798.65157545826</v>
      </c>
      <c r="D186" s="5" t="n">
        <f aca="false">-IPMT($B$2/12,181,$B$3*12,$B$1)</f>
        <v>1065.73266677117</v>
      </c>
      <c r="E186" s="5" t="n">
        <f aca="false">-PPMT($B$2/12,181,$B$3*12,$B$1)</f>
        <v>732.918908687083</v>
      </c>
      <c r="F186" s="5" t="n">
        <f aca="false">B186-E186</f>
        <v>212413.614445546</v>
      </c>
    </row>
    <row r="187" customFormat="false" ht="15" hidden="false" customHeight="false" outlineLevel="0" collapsed="false">
      <c r="A187" s="0" t="n">
        <v>182</v>
      </c>
      <c r="B187" s="5" t="n">
        <f aca="false">F186</f>
        <v>212413.614445546</v>
      </c>
      <c r="C187" s="5" t="n">
        <f aca="false">-PMT($B$2/12,$B$3*12,$B$1)</f>
        <v>1798.65157545826</v>
      </c>
      <c r="D187" s="5" t="n">
        <f aca="false">-IPMT($B$2/12,182,$B$3*12,$B$1)</f>
        <v>1062.06807222774</v>
      </c>
      <c r="E187" s="5" t="n">
        <f aca="false">-PPMT($B$2/12,182,$B$3*12,$B$1)</f>
        <v>736.583503230519</v>
      </c>
      <c r="F187" s="5" t="n">
        <f aca="false">B187-E187</f>
        <v>211677.030942315</v>
      </c>
    </row>
    <row r="188" customFormat="false" ht="15" hidden="false" customHeight="false" outlineLevel="0" collapsed="false">
      <c r="A188" s="0" t="n">
        <v>183</v>
      </c>
      <c r="B188" s="5" t="n">
        <f aca="false">F187</f>
        <v>211677.030942315</v>
      </c>
      <c r="C188" s="5" t="n">
        <f aca="false">-PMT($B$2/12,$B$3*12,$B$1)</f>
        <v>1798.65157545826</v>
      </c>
      <c r="D188" s="5" t="n">
        <f aca="false">-IPMT($B$2/12,183,$B$3*12,$B$1)</f>
        <v>1058.38515471159</v>
      </c>
      <c r="E188" s="5" t="n">
        <f aca="false">-PPMT($B$2/12,183,$B$3*12,$B$1)</f>
        <v>740.266420746671</v>
      </c>
      <c r="F188" s="5" t="n">
        <f aca="false">B188-E188</f>
        <v>210936.764521569</v>
      </c>
    </row>
    <row r="189" customFormat="false" ht="15" hidden="false" customHeight="false" outlineLevel="0" collapsed="false">
      <c r="A189" s="0" t="n">
        <v>184</v>
      </c>
      <c r="B189" s="5" t="n">
        <f aca="false">F188</f>
        <v>210936.764521569</v>
      </c>
      <c r="C189" s="5" t="n">
        <f aca="false">-PMT($B$2/12,$B$3*12,$B$1)</f>
        <v>1798.65157545826</v>
      </c>
      <c r="D189" s="5" t="n">
        <f aca="false">-IPMT($B$2/12,184,$B$3*12,$B$1)</f>
        <v>1054.68382260785</v>
      </c>
      <c r="E189" s="5" t="n">
        <f aca="false">-PPMT($B$2/12,184,$B$3*12,$B$1)</f>
        <v>743.967752850404</v>
      </c>
      <c r="F189" s="5" t="n">
        <f aca="false">B189-E189</f>
        <v>210192.796768718</v>
      </c>
    </row>
    <row r="190" customFormat="false" ht="15" hidden="false" customHeight="false" outlineLevel="0" collapsed="false">
      <c r="A190" s="0" t="n">
        <v>185</v>
      </c>
      <c r="B190" s="5" t="n">
        <f aca="false">F189</f>
        <v>210192.796768718</v>
      </c>
      <c r="C190" s="5" t="n">
        <f aca="false">-PMT($B$2/12,$B$3*12,$B$1)</f>
        <v>1798.65157545826</v>
      </c>
      <c r="D190" s="5" t="n">
        <f aca="false">-IPMT($B$2/12,185,$B$3*12,$B$1)</f>
        <v>1050.9639838436</v>
      </c>
      <c r="E190" s="5" t="n">
        <f aca="false">-PPMT($B$2/12,185,$B$3*12,$B$1)</f>
        <v>747.687591614656</v>
      </c>
      <c r="F190" s="5" t="n">
        <f aca="false">B190-E190</f>
        <v>209445.109177104</v>
      </c>
    </row>
    <row r="191" customFormat="false" ht="15" hidden="false" customHeight="false" outlineLevel="0" collapsed="false">
      <c r="A191" s="0" t="n">
        <v>186</v>
      </c>
      <c r="B191" s="5" t="n">
        <f aca="false">F190</f>
        <v>209445.109177104</v>
      </c>
      <c r="C191" s="5" t="n">
        <f aca="false">-PMT($B$2/12,$B$3*12,$B$1)</f>
        <v>1798.65157545826</v>
      </c>
      <c r="D191" s="5" t="n">
        <f aca="false">-IPMT($B$2/12,186,$B$3*12,$B$1)</f>
        <v>1047.22554588553</v>
      </c>
      <c r="E191" s="5" t="n">
        <f aca="false">-PPMT($B$2/12,186,$B$3*12,$B$1)</f>
        <v>751.42602957273</v>
      </c>
      <c r="F191" s="5" t="n">
        <f aca="false">B191-E191</f>
        <v>208693.683147531</v>
      </c>
    </row>
    <row r="192" customFormat="false" ht="15" hidden="false" customHeight="false" outlineLevel="0" collapsed="false">
      <c r="A192" s="0" t="n">
        <v>187</v>
      </c>
      <c r="B192" s="5" t="n">
        <f aca="false">F191</f>
        <v>208693.683147531</v>
      </c>
      <c r="C192" s="5" t="n">
        <f aca="false">-PMT($B$2/12,$B$3*12,$B$1)</f>
        <v>1798.65157545826</v>
      </c>
      <c r="D192" s="5" t="n">
        <f aca="false">-IPMT($B$2/12,187,$B$3*12,$B$1)</f>
        <v>1043.46841573766</v>
      </c>
      <c r="E192" s="5" t="n">
        <f aca="false">-PPMT($B$2/12,187,$B$3*12,$B$1)</f>
        <v>755.183159720593</v>
      </c>
      <c r="F192" s="5" t="n">
        <f aca="false">B192-E192</f>
        <v>207938.49998781</v>
      </c>
    </row>
    <row r="193" customFormat="false" ht="15" hidden="false" customHeight="false" outlineLevel="0" collapsed="false">
      <c r="A193" s="0" t="n">
        <v>188</v>
      </c>
      <c r="B193" s="5" t="n">
        <f aca="false">F192</f>
        <v>207938.49998781</v>
      </c>
      <c r="C193" s="5" t="n">
        <f aca="false">-PMT($B$2/12,$B$3*12,$B$1)</f>
        <v>1798.65157545826</v>
      </c>
      <c r="D193" s="5" t="n">
        <f aca="false">-IPMT($B$2/12,188,$B$3*12,$B$1)</f>
        <v>1039.69249993906</v>
      </c>
      <c r="E193" s="5" t="n">
        <f aca="false">-PPMT($B$2/12,188,$B$3*12,$B$1)</f>
        <v>758.959075519196</v>
      </c>
      <c r="F193" s="5" t="n">
        <f aca="false">B193-E193</f>
        <v>207179.540912291</v>
      </c>
    </row>
    <row r="194" customFormat="false" ht="15" hidden="false" customHeight="false" outlineLevel="0" collapsed="false">
      <c r="A194" s="0" t="n">
        <v>189</v>
      </c>
      <c r="B194" s="5" t="n">
        <f aca="false">F193</f>
        <v>207179.540912291</v>
      </c>
      <c r="C194" s="5" t="n">
        <f aca="false">-PMT($B$2/12,$B$3*12,$B$1)</f>
        <v>1798.65157545826</v>
      </c>
      <c r="D194" s="5" t="n">
        <f aca="false">-IPMT($B$2/12,189,$B$3*12,$B$1)</f>
        <v>1035.89770456147</v>
      </c>
      <c r="E194" s="5" t="n">
        <f aca="false">-PPMT($B$2/12,189,$B$3*12,$B$1)</f>
        <v>762.753870896792</v>
      </c>
      <c r="F194" s="5" t="n">
        <f aca="false">B194-E194</f>
        <v>206416.787041394</v>
      </c>
    </row>
    <row r="195" customFormat="false" ht="15" hidden="false" customHeight="false" outlineLevel="0" collapsed="false">
      <c r="A195" s="0" t="n">
        <v>190</v>
      </c>
      <c r="B195" s="5" t="n">
        <f aca="false">F194</f>
        <v>206416.787041394</v>
      </c>
      <c r="C195" s="5" t="n">
        <f aca="false">-PMT($B$2/12,$B$3*12,$B$1)</f>
        <v>1798.65157545826</v>
      </c>
      <c r="D195" s="5" t="n">
        <f aca="false">-IPMT($B$2/12,190,$B$3*12,$B$1)</f>
        <v>1032.08393520698</v>
      </c>
      <c r="E195" s="5" t="n">
        <f aca="false">-PPMT($B$2/12,190,$B$3*12,$B$1)</f>
        <v>766.567640251276</v>
      </c>
      <c r="F195" s="5" t="n">
        <f aca="false">B195-E195</f>
        <v>205650.219401143</v>
      </c>
    </row>
    <row r="196" customFormat="false" ht="15" hidden="false" customHeight="false" outlineLevel="0" collapsed="false">
      <c r="A196" s="0" t="n">
        <v>191</v>
      </c>
      <c r="B196" s="5" t="n">
        <f aca="false">F195</f>
        <v>205650.219401143</v>
      </c>
      <c r="C196" s="5" t="n">
        <f aca="false">-PMT($B$2/12,$B$3*12,$B$1)</f>
        <v>1798.65157545826</v>
      </c>
      <c r="D196" s="5" t="n">
        <f aca="false">-IPMT($B$2/12,191,$B$3*12,$B$1)</f>
        <v>1028.25109700573</v>
      </c>
      <c r="E196" s="5" t="n">
        <f aca="false">-PPMT($B$2/12,191,$B$3*12,$B$1)</f>
        <v>770.400478452532</v>
      </c>
      <c r="F196" s="5" t="n">
        <f aca="false">B196-E196</f>
        <v>204879.81892269</v>
      </c>
    </row>
    <row r="197" customFormat="false" ht="15" hidden="false" customHeight="false" outlineLevel="0" collapsed="false">
      <c r="A197" s="0" t="n">
        <v>192</v>
      </c>
      <c r="B197" s="5" t="n">
        <f aca="false">F196</f>
        <v>204879.81892269</v>
      </c>
      <c r="C197" s="5" t="n">
        <f aca="false">-PMT($B$2/12,$B$3*12,$B$1)</f>
        <v>1798.65157545826</v>
      </c>
      <c r="D197" s="5" t="n">
        <f aca="false">-IPMT($B$2/12,192,$B$3*12,$B$1)</f>
        <v>1024.39909461346</v>
      </c>
      <c r="E197" s="5" t="n">
        <f aca="false">-PPMT($B$2/12,192,$B$3*12,$B$1)</f>
        <v>774.252480844795</v>
      </c>
      <c r="F197" s="5" t="n">
        <f aca="false">B197-E197</f>
        <v>204105.566441846</v>
      </c>
    </row>
    <row r="198" customFormat="false" ht="15" hidden="false" customHeight="false" outlineLevel="0" collapsed="false">
      <c r="A198" s="0" t="n">
        <v>193</v>
      </c>
      <c r="B198" s="5" t="n">
        <f aca="false">F197</f>
        <v>204105.566441846</v>
      </c>
      <c r="C198" s="5" t="n">
        <f aca="false">-PMT($B$2/12,$B$3*12,$B$1)</f>
        <v>1798.65157545826</v>
      </c>
      <c r="D198" s="5" t="n">
        <f aca="false">-IPMT($B$2/12,193,$B$3*12,$B$1)</f>
        <v>1020.52783220924</v>
      </c>
      <c r="E198" s="5" t="n">
        <f aca="false">-PPMT($B$2/12,193,$B$3*12,$B$1)</f>
        <v>778.123743249019</v>
      </c>
      <c r="F198" s="5" t="n">
        <f aca="false">B198-E198</f>
        <v>203327.442698597</v>
      </c>
    </row>
    <row r="199" customFormat="false" ht="15" hidden="false" customHeight="false" outlineLevel="0" collapsed="false">
      <c r="A199" s="0" t="n">
        <v>194</v>
      </c>
      <c r="B199" s="5" t="n">
        <f aca="false">F198</f>
        <v>203327.442698597</v>
      </c>
      <c r="C199" s="5" t="n">
        <f aca="false">-PMT($B$2/12,$B$3*12,$B$1)</f>
        <v>1798.65157545826</v>
      </c>
      <c r="D199" s="5" t="n">
        <f aca="false">-IPMT($B$2/12,194,$B$3*12,$B$1)</f>
        <v>1016.63721349299</v>
      </c>
      <c r="E199" s="5" t="n">
        <f aca="false">-PPMT($B$2/12,194,$B$3*12,$B$1)</f>
        <v>782.014361965263</v>
      </c>
      <c r="F199" s="5" t="n">
        <f aca="false">B199-E199</f>
        <v>202545.428336631</v>
      </c>
    </row>
    <row r="200" customFormat="false" ht="15" hidden="false" customHeight="false" outlineLevel="0" collapsed="false">
      <c r="A200" s="0" t="n">
        <v>195</v>
      </c>
      <c r="B200" s="5" t="n">
        <f aca="false">F199</f>
        <v>202545.428336631</v>
      </c>
      <c r="C200" s="5" t="n">
        <f aca="false">-PMT($B$2/12,$B$3*12,$B$1)</f>
        <v>1798.65157545826</v>
      </c>
      <c r="D200" s="5" t="n">
        <f aca="false">-IPMT($B$2/12,195,$B$3*12,$B$1)</f>
        <v>1012.72714168317</v>
      </c>
      <c r="E200" s="5" t="n">
        <f aca="false">-PPMT($B$2/12,195,$B$3*12,$B$1)</f>
        <v>785.924433775089</v>
      </c>
      <c r="F200" s="5" t="n">
        <f aca="false">B200-E200</f>
        <v>201759.503902856</v>
      </c>
    </row>
    <row r="201" customFormat="false" ht="15" hidden="false" customHeight="false" outlineLevel="0" collapsed="false">
      <c r="A201" s="0" t="n">
        <v>196</v>
      </c>
      <c r="B201" s="5" t="n">
        <f aca="false">F200</f>
        <v>201759.503902856</v>
      </c>
      <c r="C201" s="5" t="n">
        <f aca="false">-PMT($B$2/12,$B$3*12,$B$1)</f>
        <v>1798.65157545826</v>
      </c>
      <c r="D201" s="5" t="n">
        <f aca="false">-IPMT($B$2/12,196,$B$3*12,$B$1)</f>
        <v>1008.79751951429</v>
      </c>
      <c r="E201" s="5" t="n">
        <f aca="false">-PPMT($B$2/12,196,$B$3*12,$B$1)</f>
        <v>789.854055943966</v>
      </c>
      <c r="F201" s="5" t="n">
        <f aca="false">B201-E201</f>
        <v>200969.649846912</v>
      </c>
    </row>
    <row r="202" customFormat="false" ht="15" hidden="false" customHeight="false" outlineLevel="0" collapsed="false">
      <c r="A202" s="0" t="n">
        <v>197</v>
      </c>
      <c r="B202" s="5" t="n">
        <f aca="false">F201</f>
        <v>200969.649846912</v>
      </c>
      <c r="C202" s="5" t="n">
        <f aca="false">-PMT($B$2/12,$B$3*12,$B$1)</f>
        <v>1798.65157545826</v>
      </c>
      <c r="D202" s="5" t="n">
        <f aca="false">-IPMT($B$2/12,197,$B$3*12,$B$1)</f>
        <v>1004.84824923457</v>
      </c>
      <c r="E202" s="5" t="n">
        <f aca="false">-PPMT($B$2/12,197,$B$3*12,$B$1)</f>
        <v>793.803326223685</v>
      </c>
      <c r="F202" s="5" t="n">
        <f aca="false">B202-E202</f>
        <v>200175.846520689</v>
      </c>
    </row>
    <row r="203" customFormat="false" ht="15" hidden="false" customHeight="false" outlineLevel="0" collapsed="false">
      <c r="A203" s="0" t="n">
        <v>198</v>
      </c>
      <c r="B203" s="5" t="n">
        <f aca="false">F202</f>
        <v>200175.846520689</v>
      </c>
      <c r="C203" s="5" t="n">
        <f aca="false">-PMT($B$2/12,$B$3*12,$B$1)</f>
        <v>1798.65157545826</v>
      </c>
      <c r="D203" s="5" t="n">
        <f aca="false">-IPMT($B$2/12,198,$B$3*12,$B$1)</f>
        <v>1000.87923260345</v>
      </c>
      <c r="E203" s="5" t="n">
        <f aca="false">-PPMT($B$2/12,198,$B$3*12,$B$1)</f>
        <v>797.772342854803</v>
      </c>
      <c r="F203" s="5" t="n">
        <f aca="false">B203-E203</f>
        <v>199378.074177834</v>
      </c>
    </row>
    <row r="204" customFormat="false" ht="15" hidden="false" customHeight="false" outlineLevel="0" collapsed="false">
      <c r="A204" s="0" t="n">
        <v>199</v>
      </c>
      <c r="B204" s="5" t="n">
        <f aca="false">F203</f>
        <v>199378.074177834</v>
      </c>
      <c r="C204" s="5" t="n">
        <f aca="false">-PMT($B$2/12,$B$3*12,$B$1)</f>
        <v>1798.65157545826</v>
      </c>
      <c r="D204" s="5" t="n">
        <f aca="false">-IPMT($B$2/12,199,$B$3*12,$B$1)</f>
        <v>996.89037088918</v>
      </c>
      <c r="E204" s="5" t="n">
        <f aca="false">-PPMT($B$2/12,199,$B$3*12,$B$1)</f>
        <v>801.761204569077</v>
      </c>
      <c r="F204" s="5" t="n">
        <f aca="false">B204-E204</f>
        <v>198576.312973265</v>
      </c>
    </row>
    <row r="205" customFormat="false" ht="15" hidden="false" customHeight="false" outlineLevel="0" collapsed="false">
      <c r="A205" s="0" t="n">
        <v>200</v>
      </c>
      <c r="B205" s="5" t="n">
        <f aca="false">F204</f>
        <v>198576.312973265</v>
      </c>
      <c r="C205" s="5" t="n">
        <f aca="false">-PMT($B$2/12,$B$3*12,$B$1)</f>
        <v>1798.65157545826</v>
      </c>
      <c r="D205" s="5" t="n">
        <f aca="false">-IPMT($B$2/12,200,$B$3*12,$B$1)</f>
        <v>992.881564866335</v>
      </c>
      <c r="E205" s="5" t="n">
        <f aca="false">-PPMT($B$2/12,200,$B$3*12,$B$1)</f>
        <v>805.770010591922</v>
      </c>
      <c r="F205" s="5" t="n">
        <f aca="false">B205-E205</f>
        <v>197770.542962673</v>
      </c>
    </row>
    <row r="206" customFormat="false" ht="15" hidden="false" customHeight="false" outlineLevel="0" collapsed="false">
      <c r="A206" s="0" t="n">
        <v>201</v>
      </c>
      <c r="B206" s="5" t="n">
        <f aca="false">F205</f>
        <v>197770.542962673</v>
      </c>
      <c r="C206" s="5" t="n">
        <f aca="false">-PMT($B$2/12,$B$3*12,$B$1)</f>
        <v>1798.65157545826</v>
      </c>
      <c r="D206" s="5" t="n">
        <f aca="false">-IPMT($B$2/12,201,$B$3*12,$B$1)</f>
        <v>988.852714813376</v>
      </c>
      <c r="E206" s="5" t="n">
        <f aca="false">-PPMT($B$2/12,201,$B$3*12,$B$1)</f>
        <v>809.798860644882</v>
      </c>
      <c r="F206" s="5" t="n">
        <f aca="false">B206-E206</f>
        <v>196960.744102028</v>
      </c>
    </row>
    <row r="207" customFormat="false" ht="15" hidden="false" customHeight="false" outlineLevel="0" collapsed="false">
      <c r="A207" s="0" t="n">
        <v>202</v>
      </c>
      <c r="B207" s="5" t="n">
        <f aca="false">F206</f>
        <v>196960.744102028</v>
      </c>
      <c r="C207" s="5" t="n">
        <f aca="false">-PMT($B$2/12,$B$3*12,$B$1)</f>
        <v>1798.65157545826</v>
      </c>
      <c r="D207" s="5" t="n">
        <f aca="false">-IPMT($B$2/12,202,$B$3*12,$B$1)</f>
        <v>984.803720510151</v>
      </c>
      <c r="E207" s="5" t="n">
        <f aca="false">-PPMT($B$2/12,202,$B$3*12,$B$1)</f>
        <v>813.847854948106</v>
      </c>
      <c r="F207" s="5" t="n">
        <f aca="false">B207-E207</f>
        <v>196146.89624708</v>
      </c>
    </row>
    <row r="208" customFormat="false" ht="15" hidden="false" customHeight="false" outlineLevel="0" collapsed="false">
      <c r="A208" s="0" t="n">
        <v>203</v>
      </c>
      <c r="B208" s="5" t="n">
        <f aca="false">F207</f>
        <v>196146.89624708</v>
      </c>
      <c r="C208" s="5" t="n">
        <f aca="false">-PMT($B$2/12,$B$3*12,$B$1)</f>
        <v>1798.65157545826</v>
      </c>
      <c r="D208" s="5" t="n">
        <f aca="false">-IPMT($B$2/12,203,$B$3*12,$B$1)</f>
        <v>980.734481235411</v>
      </c>
      <c r="E208" s="5" t="n">
        <f aca="false">-PPMT($B$2/12,203,$B$3*12,$B$1)</f>
        <v>817.917094222847</v>
      </c>
      <c r="F208" s="5" t="n">
        <f aca="false">B208-E208</f>
        <v>195328.979152857</v>
      </c>
    </row>
    <row r="209" customFormat="false" ht="15" hidden="false" customHeight="false" outlineLevel="0" collapsed="false">
      <c r="A209" s="0" t="n">
        <v>204</v>
      </c>
      <c r="B209" s="5" t="n">
        <f aca="false">F208</f>
        <v>195328.979152857</v>
      </c>
      <c r="C209" s="5" t="n">
        <f aca="false">-PMT($B$2/12,$B$3*12,$B$1)</f>
        <v>1798.65157545826</v>
      </c>
      <c r="D209" s="5" t="n">
        <f aca="false">-IPMT($B$2/12,204,$B$3*12,$B$1)</f>
        <v>976.644895764296</v>
      </c>
      <c r="E209" s="5" t="n">
        <f aca="false">-PPMT($B$2/12,204,$B$3*12,$B$1)</f>
        <v>822.006679693961</v>
      </c>
      <c r="F209" s="5" t="n">
        <f aca="false">B209-E209</f>
        <v>194506.972473163</v>
      </c>
    </row>
    <row r="210" customFormat="false" ht="15" hidden="false" customHeight="false" outlineLevel="0" collapsed="false">
      <c r="A210" s="0" t="n">
        <v>205</v>
      </c>
      <c r="B210" s="5" t="n">
        <f aca="false">F209</f>
        <v>194506.972473163</v>
      </c>
      <c r="C210" s="5" t="n">
        <f aca="false">-PMT($B$2/12,$B$3*12,$B$1)</f>
        <v>1798.65157545826</v>
      </c>
      <c r="D210" s="5" t="n">
        <f aca="false">-IPMT($B$2/12,205,$B$3*12,$B$1)</f>
        <v>972.534862365827</v>
      </c>
      <c r="E210" s="5" t="n">
        <f aca="false">-PPMT($B$2/12,205,$B$3*12,$B$1)</f>
        <v>826.11671309243</v>
      </c>
      <c r="F210" s="5" t="n">
        <f aca="false">B210-E210</f>
        <v>193680.855760071</v>
      </c>
    </row>
    <row r="211" customFormat="false" ht="15" hidden="false" customHeight="false" outlineLevel="0" collapsed="false">
      <c r="A211" s="0" t="n">
        <v>206</v>
      </c>
      <c r="B211" s="5" t="n">
        <f aca="false">F210</f>
        <v>193680.855760071</v>
      </c>
      <c r="C211" s="5" t="n">
        <f aca="false">-PMT($B$2/12,$B$3*12,$B$1)</f>
        <v>1798.65157545826</v>
      </c>
      <c r="D211" s="5" t="n">
        <f aca="false">-IPMT($B$2/12,206,$B$3*12,$B$1)</f>
        <v>968.404278800365</v>
      </c>
      <c r="E211" s="5" t="n">
        <f aca="false">-PPMT($B$2/12,206,$B$3*12,$B$1)</f>
        <v>830.247296657892</v>
      </c>
      <c r="F211" s="5" t="n">
        <f aca="false">B211-E211</f>
        <v>192850.608463413</v>
      </c>
    </row>
    <row r="212" customFormat="false" ht="15" hidden="false" customHeight="false" outlineLevel="0" collapsed="false">
      <c r="A212" s="0" t="n">
        <v>207</v>
      </c>
      <c r="B212" s="5" t="n">
        <f aca="false">F211</f>
        <v>192850.608463413</v>
      </c>
      <c r="C212" s="5" t="n">
        <f aca="false">-PMT($B$2/12,$B$3*12,$B$1)</f>
        <v>1798.65157545826</v>
      </c>
      <c r="D212" s="5" t="n">
        <f aca="false">-IPMT($B$2/12,207,$B$3*12,$B$1)</f>
        <v>964.253042317076</v>
      </c>
      <c r="E212" s="5" t="n">
        <f aca="false">-PPMT($B$2/12,207,$B$3*12,$B$1)</f>
        <v>834.398533141182</v>
      </c>
      <c r="F212" s="5" t="n">
        <f aca="false">B212-E212</f>
        <v>192016.209930271</v>
      </c>
    </row>
    <row r="213" customFormat="false" ht="15" hidden="false" customHeight="false" outlineLevel="0" collapsed="false">
      <c r="A213" s="0" t="n">
        <v>208</v>
      </c>
      <c r="B213" s="5" t="n">
        <f aca="false">F212</f>
        <v>192016.209930271</v>
      </c>
      <c r="C213" s="5" t="n">
        <f aca="false">-PMT($B$2/12,$B$3*12,$B$1)</f>
        <v>1798.65157545826</v>
      </c>
      <c r="D213" s="5" t="n">
        <f aca="false">-IPMT($B$2/12,208,$B$3*12,$B$1)</f>
        <v>960.081049651369</v>
      </c>
      <c r="E213" s="5" t="n">
        <f aca="false">-PPMT($B$2/12,208,$B$3*12,$B$1)</f>
        <v>838.570525806888</v>
      </c>
      <c r="F213" s="5" t="n">
        <f aca="false">B213-E213</f>
        <v>191177.639404465</v>
      </c>
    </row>
    <row r="214" customFormat="false" ht="15" hidden="false" customHeight="false" outlineLevel="0" collapsed="false">
      <c r="A214" s="0" t="n">
        <v>209</v>
      </c>
      <c r="B214" s="5" t="n">
        <f aca="false">F213</f>
        <v>191177.639404465</v>
      </c>
      <c r="C214" s="5" t="n">
        <f aca="false">-PMT($B$2/12,$B$3*12,$B$1)</f>
        <v>1798.65157545826</v>
      </c>
      <c r="D214" s="5" t="n">
        <f aca="false">-IPMT($B$2/12,209,$B$3*12,$B$1)</f>
        <v>955.888197022335</v>
      </c>
      <c r="E214" s="5" t="n">
        <f aca="false">-PPMT($B$2/12,209,$B$3*12,$B$1)</f>
        <v>842.763378435922</v>
      </c>
      <c r="F214" s="5" t="n">
        <f aca="false">B214-E214</f>
        <v>190334.876026029</v>
      </c>
    </row>
    <row r="215" customFormat="false" ht="15" hidden="false" customHeight="false" outlineLevel="0" collapsed="false">
      <c r="A215" s="0" t="n">
        <v>210</v>
      </c>
      <c r="B215" s="5" t="n">
        <f aca="false">F214</f>
        <v>190334.876026029</v>
      </c>
      <c r="C215" s="5" t="n">
        <f aca="false">-PMT($B$2/12,$B$3*12,$B$1)</f>
        <v>1798.65157545826</v>
      </c>
      <c r="D215" s="5" t="n">
        <f aca="false">-IPMT($B$2/12,210,$B$3*12,$B$1)</f>
        <v>951.674380130155</v>
      </c>
      <c r="E215" s="5" t="n">
        <f aca="false">-PPMT($B$2/12,210,$B$3*12,$B$1)</f>
        <v>846.977195328102</v>
      </c>
      <c r="F215" s="5" t="n">
        <f aca="false">B215-E215</f>
        <v>189487.898830701</v>
      </c>
    </row>
    <row r="216" customFormat="false" ht="15" hidden="false" customHeight="false" outlineLevel="0" collapsed="false">
      <c r="A216" s="0" t="n">
        <v>211</v>
      </c>
      <c r="B216" s="5" t="n">
        <f aca="false">F215</f>
        <v>189487.898830701</v>
      </c>
      <c r="C216" s="5" t="n">
        <f aca="false">-PMT($B$2/12,$B$3*12,$B$1)</f>
        <v>1798.65157545826</v>
      </c>
      <c r="D216" s="5" t="n">
        <f aca="false">-IPMT($B$2/12,211,$B$3*12,$B$1)</f>
        <v>947.439494153515</v>
      </c>
      <c r="E216" s="5" t="n">
        <f aca="false">-PPMT($B$2/12,211,$B$3*12,$B$1)</f>
        <v>851.212081304742</v>
      </c>
      <c r="F216" s="5" t="n">
        <f aca="false">B216-E216</f>
        <v>188636.686749396</v>
      </c>
    </row>
    <row r="217" customFormat="false" ht="15" hidden="false" customHeight="false" outlineLevel="0" collapsed="false">
      <c r="A217" s="0" t="n">
        <v>212</v>
      </c>
      <c r="B217" s="5" t="n">
        <f aca="false">F216</f>
        <v>188636.686749396</v>
      </c>
      <c r="C217" s="5" t="n">
        <f aca="false">-PMT($B$2/12,$B$3*12,$B$1)</f>
        <v>1798.65157545826</v>
      </c>
      <c r="D217" s="5" t="n">
        <f aca="false">-IPMT($B$2/12,212,$B$3*12,$B$1)</f>
        <v>943.183433746991</v>
      </c>
      <c r="E217" s="5" t="n">
        <f aca="false">-PPMT($B$2/12,212,$B$3*12,$B$1)</f>
        <v>855.468141711266</v>
      </c>
      <c r="F217" s="5" t="n">
        <f aca="false">B217-E217</f>
        <v>187781.218607685</v>
      </c>
    </row>
    <row r="218" customFormat="false" ht="15" hidden="false" customHeight="false" outlineLevel="0" collapsed="false">
      <c r="A218" s="0" t="n">
        <v>213</v>
      </c>
      <c r="B218" s="5" t="n">
        <f aca="false">F217</f>
        <v>187781.218607685</v>
      </c>
      <c r="C218" s="5" t="n">
        <f aca="false">-PMT($B$2/12,$B$3*12,$B$1)</f>
        <v>1798.65157545826</v>
      </c>
      <c r="D218" s="5" t="n">
        <f aca="false">-IPMT($B$2/12,213,$B$3*12,$B$1)</f>
        <v>938.906093038436</v>
      </c>
      <c r="E218" s="5" t="n">
        <f aca="false">-PPMT($B$2/12,213,$B$3*12,$B$1)</f>
        <v>859.745482419822</v>
      </c>
      <c r="F218" s="5" t="n">
        <f aca="false">B218-E218</f>
        <v>186921.473125265</v>
      </c>
    </row>
    <row r="219" customFormat="false" ht="15" hidden="false" customHeight="false" outlineLevel="0" collapsed="false">
      <c r="A219" s="0" t="n">
        <v>214</v>
      </c>
      <c r="B219" s="5" t="n">
        <f aca="false">F218</f>
        <v>186921.473125265</v>
      </c>
      <c r="C219" s="5" t="n">
        <f aca="false">-PMT($B$2/12,$B$3*12,$B$1)</f>
        <v>1798.65157545826</v>
      </c>
      <c r="D219" s="5" t="n">
        <f aca="false">-IPMT($B$2/12,214,$B$3*12,$B$1)</f>
        <v>934.607365626336</v>
      </c>
      <c r="E219" s="5" t="n">
        <f aca="false">-PPMT($B$2/12,214,$B$3*12,$B$1)</f>
        <v>864.044209831921</v>
      </c>
      <c r="F219" s="5" t="n">
        <f aca="false">B219-E219</f>
        <v>186057.428915433</v>
      </c>
    </row>
    <row r="220" customFormat="false" ht="15" hidden="false" customHeight="false" outlineLevel="0" collapsed="false">
      <c r="A220" s="0" t="n">
        <v>215</v>
      </c>
      <c r="B220" s="5" t="n">
        <f aca="false">F219</f>
        <v>186057.428915433</v>
      </c>
      <c r="C220" s="5" t="n">
        <f aca="false">-PMT($B$2/12,$B$3*12,$B$1)</f>
        <v>1798.65157545826</v>
      </c>
      <c r="D220" s="5" t="n">
        <f aca="false">-IPMT($B$2/12,215,$B$3*12,$B$1)</f>
        <v>930.287144577177</v>
      </c>
      <c r="E220" s="5" t="n">
        <f aca="false">-PPMT($B$2/12,215,$B$3*12,$B$1)</f>
        <v>868.364430881081</v>
      </c>
      <c r="F220" s="5" t="n">
        <f aca="false">B220-E220</f>
        <v>185189.064484552</v>
      </c>
    </row>
    <row r="221" customFormat="false" ht="15" hidden="false" customHeight="false" outlineLevel="0" collapsed="false">
      <c r="A221" s="0" t="n">
        <v>216</v>
      </c>
      <c r="B221" s="5" t="n">
        <f aca="false">F220</f>
        <v>185189.064484552</v>
      </c>
      <c r="C221" s="5" t="n">
        <f aca="false">-PMT($B$2/12,$B$3*12,$B$1)</f>
        <v>1798.65157545826</v>
      </c>
      <c r="D221" s="5" t="n">
        <f aca="false">-IPMT($B$2/12,216,$B$3*12,$B$1)</f>
        <v>925.945322422772</v>
      </c>
      <c r="E221" s="5" t="n">
        <f aca="false">-PPMT($B$2/12,216,$B$3*12,$B$1)</f>
        <v>872.706253035486</v>
      </c>
      <c r="F221" s="5" t="n">
        <f aca="false">B221-E221</f>
        <v>184316.358231516</v>
      </c>
    </row>
    <row r="222" customFormat="false" ht="15" hidden="false" customHeight="false" outlineLevel="0" collapsed="false">
      <c r="A222" s="0" t="n">
        <v>217</v>
      </c>
      <c r="B222" s="5" t="n">
        <f aca="false">F221</f>
        <v>184316.358231516</v>
      </c>
      <c r="C222" s="5" t="n">
        <f aca="false">-PMT($B$2/12,$B$3*12,$B$1)</f>
        <v>1798.65157545826</v>
      </c>
      <c r="D222" s="5" t="n">
        <f aca="false">-IPMT($B$2/12,217,$B$3*12,$B$1)</f>
        <v>921.581791157594</v>
      </c>
      <c r="E222" s="5" t="n">
        <f aca="false">-PPMT($B$2/12,217,$B$3*12,$B$1)</f>
        <v>877.069784300663</v>
      </c>
      <c r="F222" s="5" t="n">
        <f aca="false">B222-E222</f>
        <v>183439.288447216</v>
      </c>
    </row>
    <row r="223" customFormat="false" ht="15" hidden="false" customHeight="false" outlineLevel="0" collapsed="false">
      <c r="A223" s="0" t="n">
        <v>218</v>
      </c>
      <c r="B223" s="5" t="n">
        <f aca="false">F222</f>
        <v>183439.288447216</v>
      </c>
      <c r="C223" s="5" t="n">
        <f aca="false">-PMT($B$2/12,$B$3*12,$B$1)</f>
        <v>1798.65157545826</v>
      </c>
      <c r="D223" s="5" t="n">
        <f aca="false">-IPMT($B$2/12,218,$B$3*12,$B$1)</f>
        <v>917.196442236091</v>
      </c>
      <c r="E223" s="5" t="n">
        <f aca="false">-PPMT($B$2/12,218,$B$3*12,$B$1)</f>
        <v>881.455133222166</v>
      </c>
      <c r="F223" s="5" t="n">
        <f aca="false">B223-E223</f>
        <v>182557.833313993</v>
      </c>
    </row>
    <row r="224" customFormat="false" ht="15" hidden="false" customHeight="false" outlineLevel="0" collapsed="false">
      <c r="A224" s="0" t="n">
        <v>219</v>
      </c>
      <c r="B224" s="5" t="n">
        <f aca="false">F223</f>
        <v>182557.833313993</v>
      </c>
      <c r="C224" s="5" t="n">
        <f aca="false">-PMT($B$2/12,$B$3*12,$B$1)</f>
        <v>1798.65157545826</v>
      </c>
      <c r="D224" s="5" t="n">
        <f aca="false">-IPMT($B$2/12,219,$B$3*12,$B$1)</f>
        <v>912.78916656998</v>
      </c>
      <c r="E224" s="5" t="n">
        <f aca="false">-PPMT($B$2/12,219,$B$3*12,$B$1)</f>
        <v>885.862408888277</v>
      </c>
      <c r="F224" s="5" t="n">
        <f aca="false">B224-E224</f>
        <v>181671.970905105</v>
      </c>
    </row>
    <row r="225" customFormat="false" ht="15" hidden="false" customHeight="false" outlineLevel="0" collapsed="false">
      <c r="A225" s="0" t="n">
        <v>220</v>
      </c>
      <c r="B225" s="5" t="n">
        <f aca="false">F224</f>
        <v>181671.970905105</v>
      </c>
      <c r="C225" s="5" t="n">
        <f aca="false">-PMT($B$2/12,$B$3*12,$B$1)</f>
        <v>1798.65157545826</v>
      </c>
      <c r="D225" s="5" t="n">
        <f aca="false">-IPMT($B$2/12,220,$B$3*12,$B$1)</f>
        <v>908.359854525539</v>
      </c>
      <c r="E225" s="5" t="n">
        <f aca="false">-PPMT($B$2/12,220,$B$3*12,$B$1)</f>
        <v>890.291720932719</v>
      </c>
      <c r="F225" s="5" t="n">
        <f aca="false">B225-E225</f>
        <v>180781.679184172</v>
      </c>
    </row>
    <row r="226" customFormat="false" ht="15" hidden="false" customHeight="false" outlineLevel="0" collapsed="false">
      <c r="A226" s="0" t="n">
        <v>221</v>
      </c>
      <c r="B226" s="5" t="n">
        <f aca="false">F225</f>
        <v>180781.679184172</v>
      </c>
      <c r="C226" s="5" t="n">
        <f aca="false">-PMT($B$2/12,$B$3*12,$B$1)</f>
        <v>1798.65157545826</v>
      </c>
      <c r="D226" s="5" t="n">
        <f aca="false">-IPMT($B$2/12,221,$B$3*12,$B$1)</f>
        <v>903.908395920876</v>
      </c>
      <c r="E226" s="5" t="n">
        <f aca="false">-PPMT($B$2/12,221,$B$3*12,$B$1)</f>
        <v>894.743179537382</v>
      </c>
      <c r="F226" s="5" t="n">
        <f aca="false">B226-E226</f>
        <v>179886.936004635</v>
      </c>
    </row>
    <row r="227" customFormat="false" ht="15" hidden="false" customHeight="false" outlineLevel="0" collapsed="false">
      <c r="A227" s="0" t="n">
        <v>222</v>
      </c>
      <c r="B227" s="5" t="n">
        <f aca="false">F226</f>
        <v>179886.936004635</v>
      </c>
      <c r="C227" s="5" t="n">
        <f aca="false">-PMT($B$2/12,$B$3*12,$B$1)</f>
        <v>1798.65157545826</v>
      </c>
      <c r="D227" s="5" t="n">
        <f aca="false">-IPMT($B$2/12,222,$B$3*12,$B$1)</f>
        <v>899.434680023188</v>
      </c>
      <c r="E227" s="5" t="n">
        <f aca="false">-PPMT($B$2/12,222,$B$3*12,$B$1)</f>
        <v>899.216895435069</v>
      </c>
      <c r="F227" s="5" t="n">
        <f aca="false">B227-E227</f>
        <v>178987.7191092</v>
      </c>
    </row>
    <row r="228" customFormat="false" ht="15" hidden="false" customHeight="false" outlineLevel="0" collapsed="false">
      <c r="A228" s="0" t="n">
        <v>223</v>
      </c>
      <c r="B228" s="5" t="n">
        <f aca="false">F227</f>
        <v>178987.7191092</v>
      </c>
      <c r="C228" s="5" t="n">
        <f aca="false">-PMT($B$2/12,$B$3*12,$B$1)</f>
        <v>1798.65157545826</v>
      </c>
      <c r="D228" s="5" t="n">
        <f aca="false">-IPMT($B$2/12,223,$B$3*12,$B$1)</f>
        <v>894.938595546013</v>
      </c>
      <c r="E228" s="5" t="n">
        <f aca="false">-PPMT($B$2/12,223,$B$3*12,$B$1)</f>
        <v>903.712979912245</v>
      </c>
      <c r="F228" s="5" t="n">
        <f aca="false">B228-E228</f>
        <v>178084.006129288</v>
      </c>
    </row>
    <row r="229" customFormat="false" ht="15" hidden="false" customHeight="false" outlineLevel="0" collapsed="false">
      <c r="A229" s="0" t="n">
        <v>224</v>
      </c>
      <c r="B229" s="5" t="n">
        <f aca="false">F228</f>
        <v>178084.006129288</v>
      </c>
      <c r="C229" s="5" t="n">
        <f aca="false">-PMT($B$2/12,$B$3*12,$B$1)</f>
        <v>1798.65157545826</v>
      </c>
      <c r="D229" s="5" t="n">
        <f aca="false">-IPMT($B$2/12,224,$B$3*12,$B$1)</f>
        <v>890.420030646453</v>
      </c>
      <c r="E229" s="5" t="n">
        <f aca="false">-PPMT($B$2/12,224,$B$3*12,$B$1)</f>
        <v>908.231544811805</v>
      </c>
      <c r="F229" s="5" t="n">
        <f aca="false">B229-E229</f>
        <v>177175.774584476</v>
      </c>
    </row>
    <row r="230" customFormat="false" ht="15" hidden="false" customHeight="false" outlineLevel="0" collapsed="false">
      <c r="A230" s="0" t="n">
        <v>225</v>
      </c>
      <c r="B230" s="5" t="n">
        <f aca="false">F229</f>
        <v>177175.774584476</v>
      </c>
      <c r="C230" s="5" t="n">
        <f aca="false">-PMT($B$2/12,$B$3*12,$B$1)</f>
        <v>1798.65157545826</v>
      </c>
      <c r="D230" s="5" t="n">
        <f aca="false">-IPMT($B$2/12,225,$B$3*12,$B$1)</f>
        <v>885.878872922393</v>
      </c>
      <c r="E230" s="5" t="n">
        <f aca="false">-PPMT($B$2/12,225,$B$3*12,$B$1)</f>
        <v>912.772702535864</v>
      </c>
      <c r="F230" s="5" t="n">
        <f aca="false">B230-E230</f>
        <v>176263.00188194</v>
      </c>
    </row>
    <row r="231" customFormat="false" ht="15" hidden="false" customHeight="false" outlineLevel="0" collapsed="false">
      <c r="A231" s="0" t="n">
        <v>226</v>
      </c>
      <c r="B231" s="5" t="n">
        <f aca="false">F230</f>
        <v>176263.00188194</v>
      </c>
      <c r="C231" s="5" t="n">
        <f aca="false">-PMT($B$2/12,$B$3*12,$B$1)</f>
        <v>1798.65157545826</v>
      </c>
      <c r="D231" s="5" t="n">
        <f aca="false">-IPMT($B$2/12,226,$B$3*12,$B$1)</f>
        <v>881.315009409714</v>
      </c>
      <c r="E231" s="5" t="n">
        <f aca="false">-PPMT($B$2/12,226,$B$3*12,$B$1)</f>
        <v>917.336566048543</v>
      </c>
      <c r="F231" s="5" t="n">
        <f aca="false">B231-E231</f>
        <v>175345.665315892</v>
      </c>
    </row>
    <row r="232" customFormat="false" ht="15" hidden="false" customHeight="false" outlineLevel="0" collapsed="false">
      <c r="A232" s="0" t="n">
        <v>227</v>
      </c>
      <c r="B232" s="5" t="n">
        <f aca="false">F231</f>
        <v>175345.665315892</v>
      </c>
      <c r="C232" s="5" t="n">
        <f aca="false">-PMT($B$2/12,$B$3*12,$B$1)</f>
        <v>1798.65157545826</v>
      </c>
      <c r="D232" s="5" t="n">
        <f aca="false">-IPMT($B$2/12,227,$B$3*12,$B$1)</f>
        <v>876.728326579471</v>
      </c>
      <c r="E232" s="5" t="n">
        <f aca="false">-PPMT($B$2/12,227,$B$3*12,$B$1)</f>
        <v>921.923248878786</v>
      </c>
      <c r="F232" s="5" t="n">
        <f aca="false">B232-E232</f>
        <v>174423.742067013</v>
      </c>
    </row>
    <row r="233" customFormat="false" ht="15" hidden="false" customHeight="false" outlineLevel="0" collapsed="false">
      <c r="A233" s="0" t="n">
        <v>228</v>
      </c>
      <c r="B233" s="5" t="n">
        <f aca="false">F232</f>
        <v>174423.742067013</v>
      </c>
      <c r="C233" s="5" t="n">
        <f aca="false">-PMT($B$2/12,$B$3*12,$B$1)</f>
        <v>1798.65157545826</v>
      </c>
      <c r="D233" s="5" t="n">
        <f aca="false">-IPMT($B$2/12,228,$B$3*12,$B$1)</f>
        <v>872.118710335078</v>
      </c>
      <c r="E233" s="5" t="n">
        <f aca="false">-PPMT($B$2/12,228,$B$3*12,$B$1)</f>
        <v>926.53286512318</v>
      </c>
      <c r="F233" s="5" t="n">
        <f aca="false">B233-E233</f>
        <v>173497.20920189</v>
      </c>
    </row>
    <row r="234" customFormat="false" ht="15" hidden="false" customHeight="false" outlineLevel="0" collapsed="false">
      <c r="A234" s="0" t="n">
        <v>229</v>
      </c>
      <c r="B234" s="5" t="n">
        <f aca="false">F233</f>
        <v>173497.20920189</v>
      </c>
      <c r="C234" s="5" t="n">
        <f aca="false">-PMT($B$2/12,$B$3*12,$B$1)</f>
        <v>1798.65157545826</v>
      </c>
      <c r="D234" s="5" t="n">
        <f aca="false">-IPMT($B$2/12,229,$B$3*12,$B$1)</f>
        <v>867.486046009462</v>
      </c>
      <c r="E234" s="5" t="n">
        <f aca="false">-PPMT($B$2/12,229,$B$3*12,$B$1)</f>
        <v>931.165529448796</v>
      </c>
      <c r="F234" s="5" t="n">
        <f aca="false">B234-E234</f>
        <v>172566.043672441</v>
      </c>
    </row>
    <row r="235" customFormat="false" ht="15" hidden="false" customHeight="false" outlineLevel="0" collapsed="false">
      <c r="A235" s="0" t="n">
        <v>230</v>
      </c>
      <c r="B235" s="5" t="n">
        <f aca="false">F234</f>
        <v>172566.043672441</v>
      </c>
      <c r="C235" s="5" t="n">
        <f aca="false">-PMT($B$2/12,$B$3*12,$B$1)</f>
        <v>1798.65157545826</v>
      </c>
      <c r="D235" s="5" t="n">
        <f aca="false">-IPMT($B$2/12,230,$B$3*12,$B$1)</f>
        <v>862.830218362218</v>
      </c>
      <c r="E235" s="5" t="n">
        <f aca="false">-PPMT($B$2/12,230,$B$3*12,$B$1)</f>
        <v>935.82135709604</v>
      </c>
      <c r="F235" s="5" t="n">
        <f aca="false">B235-E235</f>
        <v>171630.222315345</v>
      </c>
    </row>
    <row r="236" customFormat="false" ht="15" hidden="false" customHeight="false" outlineLevel="0" collapsed="false">
      <c r="A236" s="0" t="n">
        <v>231</v>
      </c>
      <c r="B236" s="5" t="n">
        <f aca="false">F235</f>
        <v>171630.222315345</v>
      </c>
      <c r="C236" s="5" t="n">
        <f aca="false">-PMT($B$2/12,$B$3*12,$B$1)</f>
        <v>1798.65157545826</v>
      </c>
      <c r="D236" s="5" t="n">
        <f aca="false">-IPMT($B$2/12,231,$B$3*12,$B$1)</f>
        <v>858.151111576738</v>
      </c>
      <c r="E236" s="5" t="n">
        <f aca="false">-PPMT($B$2/12,231,$B$3*12,$B$1)</f>
        <v>940.50046388152</v>
      </c>
      <c r="F236" s="5" t="n">
        <f aca="false">B236-E236</f>
        <v>170689.721851463</v>
      </c>
    </row>
    <row r="237" customFormat="false" ht="15" hidden="false" customHeight="false" outlineLevel="0" collapsed="false">
      <c r="A237" s="0" t="n">
        <v>232</v>
      </c>
      <c r="B237" s="5" t="n">
        <f aca="false">F236</f>
        <v>170689.721851463</v>
      </c>
      <c r="C237" s="5" t="n">
        <f aca="false">-PMT($B$2/12,$B$3*12,$B$1)</f>
        <v>1798.65157545826</v>
      </c>
      <c r="D237" s="5" t="n">
        <f aca="false">-IPMT($B$2/12,232,$B$3*12,$B$1)</f>
        <v>853.44860925733</v>
      </c>
      <c r="E237" s="5" t="n">
        <f aca="false">-PPMT($B$2/12,232,$B$3*12,$B$1)</f>
        <v>945.202966200927</v>
      </c>
      <c r="F237" s="5" t="n">
        <f aca="false">B237-E237</f>
        <v>169744.518885262</v>
      </c>
    </row>
    <row r="238" customFormat="false" ht="15" hidden="false" customHeight="false" outlineLevel="0" collapsed="false">
      <c r="A238" s="0" t="n">
        <v>233</v>
      </c>
      <c r="B238" s="5" t="n">
        <f aca="false">F237</f>
        <v>169744.518885262</v>
      </c>
      <c r="C238" s="5" t="n">
        <f aca="false">-PMT($B$2/12,$B$3*12,$B$1)</f>
        <v>1798.65157545826</v>
      </c>
      <c r="D238" s="5" t="n">
        <f aca="false">-IPMT($B$2/12,233,$B$3*12,$B$1)</f>
        <v>848.722594426325</v>
      </c>
      <c r="E238" s="5" t="n">
        <f aca="false">-PPMT($B$2/12,233,$B$3*12,$B$1)</f>
        <v>949.928981031932</v>
      </c>
      <c r="F238" s="5" t="n">
        <f aca="false">B238-E238</f>
        <v>168794.58990423</v>
      </c>
    </row>
    <row r="239" customFormat="false" ht="15" hidden="false" customHeight="false" outlineLevel="0" collapsed="false">
      <c r="A239" s="0" t="n">
        <v>234</v>
      </c>
      <c r="B239" s="5" t="n">
        <f aca="false">F238</f>
        <v>168794.58990423</v>
      </c>
      <c r="C239" s="5" t="n">
        <f aca="false">-PMT($B$2/12,$B$3*12,$B$1)</f>
        <v>1798.65157545826</v>
      </c>
      <c r="D239" s="5" t="n">
        <f aca="false">-IPMT($B$2/12,234,$B$3*12,$B$1)</f>
        <v>843.972949521167</v>
      </c>
      <c r="E239" s="5" t="n">
        <f aca="false">-PPMT($B$2/12,234,$B$3*12,$B$1)</f>
        <v>954.678625937091</v>
      </c>
      <c r="F239" s="5" t="n">
        <f aca="false">B239-E239</f>
        <v>167839.911278293</v>
      </c>
    </row>
    <row r="240" customFormat="false" ht="15" hidden="false" customHeight="false" outlineLevel="0" collapsed="false">
      <c r="A240" s="0" t="n">
        <v>235</v>
      </c>
      <c r="B240" s="5" t="n">
        <f aca="false">F239</f>
        <v>167839.911278293</v>
      </c>
      <c r="C240" s="5" t="n">
        <f aca="false">-PMT($B$2/12,$B$3*12,$B$1)</f>
        <v>1798.65157545826</v>
      </c>
      <c r="D240" s="5" t="n">
        <f aca="false">-IPMT($B$2/12,235,$B$3*12,$B$1)</f>
        <v>839.199556391481</v>
      </c>
      <c r="E240" s="5" t="n">
        <f aca="false">-PPMT($B$2/12,235,$B$3*12,$B$1)</f>
        <v>959.452019066777</v>
      </c>
      <c r="F240" s="5" t="n">
        <f aca="false">B240-E240</f>
        <v>166880.459259226</v>
      </c>
    </row>
    <row r="241" customFormat="false" ht="15" hidden="false" customHeight="false" outlineLevel="0" collapsed="false">
      <c r="A241" s="0" t="n">
        <v>236</v>
      </c>
      <c r="B241" s="5" t="n">
        <f aca="false">F240</f>
        <v>166880.459259226</v>
      </c>
      <c r="C241" s="5" t="n">
        <f aca="false">-PMT($B$2/12,$B$3*12,$B$1)</f>
        <v>1798.65157545826</v>
      </c>
      <c r="D241" s="5" t="n">
        <f aca="false">-IPMT($B$2/12,236,$B$3*12,$B$1)</f>
        <v>834.402296296148</v>
      </c>
      <c r="E241" s="5" t="n">
        <f aca="false">-PPMT($B$2/12,236,$B$3*12,$B$1)</f>
        <v>964.24927916211</v>
      </c>
      <c r="F241" s="5" t="n">
        <f aca="false">B241-E241</f>
        <v>165916.209980064</v>
      </c>
    </row>
    <row r="242" customFormat="false" ht="15" hidden="false" customHeight="false" outlineLevel="0" collapsed="false">
      <c r="A242" s="0" t="n">
        <v>237</v>
      </c>
      <c r="B242" s="5" t="n">
        <f aca="false">F241</f>
        <v>165916.209980064</v>
      </c>
      <c r="C242" s="5" t="n">
        <f aca="false">-PMT($B$2/12,$B$3*12,$B$1)</f>
        <v>1798.65157545826</v>
      </c>
      <c r="D242" s="5" t="n">
        <f aca="false">-IPMT($B$2/12,237,$B$3*12,$B$1)</f>
        <v>829.581049900337</v>
      </c>
      <c r="E242" s="5" t="n">
        <f aca="false">-PPMT($B$2/12,237,$B$3*12,$B$1)</f>
        <v>969.070525557921</v>
      </c>
      <c r="F242" s="5" t="n">
        <f aca="false">B242-E242</f>
        <v>164947.139454506</v>
      </c>
    </row>
    <row r="243" customFormat="false" ht="15" hidden="false" customHeight="false" outlineLevel="0" collapsed="false">
      <c r="A243" s="0" t="n">
        <v>238</v>
      </c>
      <c r="B243" s="5" t="n">
        <f aca="false">F242</f>
        <v>164947.139454506</v>
      </c>
      <c r="C243" s="5" t="n">
        <f aca="false">-PMT($B$2/12,$B$3*12,$B$1)</f>
        <v>1798.65157545826</v>
      </c>
      <c r="D243" s="5" t="n">
        <f aca="false">-IPMT($B$2/12,238,$B$3*12,$B$1)</f>
        <v>824.735697272547</v>
      </c>
      <c r="E243" s="5" t="n">
        <f aca="false">-PPMT($B$2/12,238,$B$3*12,$B$1)</f>
        <v>973.91587818571</v>
      </c>
      <c r="F243" s="5" t="n">
        <f aca="false">B243-E243</f>
        <v>163973.223576321</v>
      </c>
    </row>
    <row r="244" customFormat="false" ht="15" hidden="false" customHeight="false" outlineLevel="0" collapsed="false">
      <c r="A244" s="0" t="n">
        <v>239</v>
      </c>
      <c r="B244" s="5" t="n">
        <f aca="false">F243</f>
        <v>163973.223576321</v>
      </c>
      <c r="C244" s="5" t="n">
        <f aca="false">-PMT($B$2/12,$B$3*12,$B$1)</f>
        <v>1798.65157545826</v>
      </c>
      <c r="D244" s="5" t="n">
        <f aca="false">-IPMT($B$2/12,239,$B$3*12,$B$1)</f>
        <v>819.866117881619</v>
      </c>
      <c r="E244" s="5" t="n">
        <f aca="false">-PPMT($B$2/12,239,$B$3*12,$B$1)</f>
        <v>978.785457576639</v>
      </c>
      <c r="F244" s="5" t="n">
        <f aca="false">B244-E244</f>
        <v>162994.438118744</v>
      </c>
    </row>
    <row r="245" customFormat="false" ht="15" hidden="false" customHeight="false" outlineLevel="0" collapsed="false">
      <c r="A245" s="0" t="n">
        <v>240</v>
      </c>
      <c r="B245" s="5" t="n">
        <f aca="false">F244</f>
        <v>162994.438118744</v>
      </c>
      <c r="C245" s="5" t="n">
        <f aca="false">-PMT($B$2/12,$B$3*12,$B$1)</f>
        <v>1798.65157545826</v>
      </c>
      <c r="D245" s="5" t="n">
        <f aca="false">-IPMT($B$2/12,240,$B$3*12,$B$1)</f>
        <v>814.972190593736</v>
      </c>
      <c r="E245" s="5" t="n">
        <f aca="false">-PPMT($B$2/12,240,$B$3*12,$B$1)</f>
        <v>983.679384864522</v>
      </c>
      <c r="F245" s="5" t="n">
        <f aca="false">B245-E245</f>
        <v>162010.75873388</v>
      </c>
    </row>
    <row r="246" customFormat="false" ht="15" hidden="false" customHeight="false" outlineLevel="0" collapsed="false">
      <c r="A246" s="0" t="n">
        <v>241</v>
      </c>
      <c r="B246" s="5" t="n">
        <f aca="false">F245</f>
        <v>162010.75873388</v>
      </c>
      <c r="C246" s="5" t="n">
        <f aca="false">-PMT($B$2/12,$B$3*12,$B$1)</f>
        <v>1798.65157545826</v>
      </c>
      <c r="D246" s="5" t="n">
        <f aca="false">-IPMT($B$2/12,241,$B$3*12,$B$1)</f>
        <v>810.053793669413</v>
      </c>
      <c r="E246" s="5" t="n">
        <f aca="false">-PPMT($B$2/12,241,$B$3*12,$B$1)</f>
        <v>988.597781788844</v>
      </c>
      <c r="F246" s="5" t="n">
        <f aca="false">B246-E246</f>
        <v>161022.160952091</v>
      </c>
    </row>
    <row r="247" customFormat="false" ht="15" hidden="false" customHeight="false" outlineLevel="0" collapsed="false">
      <c r="A247" s="0" t="n">
        <v>242</v>
      </c>
      <c r="B247" s="5" t="n">
        <f aca="false">F246</f>
        <v>161022.160952091</v>
      </c>
      <c r="C247" s="5" t="n">
        <f aca="false">-PMT($B$2/12,$B$3*12,$B$1)</f>
        <v>1798.65157545826</v>
      </c>
      <c r="D247" s="5" t="n">
        <f aca="false">-IPMT($B$2/12,242,$B$3*12,$B$1)</f>
        <v>805.110804760469</v>
      </c>
      <c r="E247" s="5" t="n">
        <f aca="false">-PPMT($B$2/12,242,$B$3*12,$B$1)</f>
        <v>993.540770697788</v>
      </c>
      <c r="F247" s="5" t="n">
        <f aca="false">B247-E247</f>
        <v>160028.620181393</v>
      </c>
    </row>
    <row r="248" customFormat="false" ht="15" hidden="false" customHeight="false" outlineLevel="0" collapsed="false">
      <c r="A248" s="0" t="n">
        <v>243</v>
      </c>
      <c r="B248" s="5" t="n">
        <f aca="false">F247</f>
        <v>160028.620181393</v>
      </c>
      <c r="C248" s="5" t="n">
        <f aca="false">-PMT($B$2/12,$B$3*12,$B$1)</f>
        <v>1798.65157545826</v>
      </c>
      <c r="D248" s="5" t="n">
        <f aca="false">-IPMT($B$2/12,243,$B$3*12,$B$1)</f>
        <v>800.14310090698</v>
      </c>
      <c r="E248" s="5" t="n">
        <f aca="false">-PPMT($B$2/12,243,$B$3*12,$B$1)</f>
        <v>998.508474551277</v>
      </c>
      <c r="F248" s="5" t="n">
        <f aca="false">B248-E248</f>
        <v>159030.111706842</v>
      </c>
    </row>
    <row r="249" customFormat="false" ht="15" hidden="false" customHeight="false" outlineLevel="0" collapsed="false">
      <c r="A249" s="0" t="n">
        <v>244</v>
      </c>
      <c r="B249" s="5" t="n">
        <f aca="false">F248</f>
        <v>159030.111706842</v>
      </c>
      <c r="C249" s="5" t="n">
        <f aca="false">-PMT($B$2/12,$B$3*12,$B$1)</f>
        <v>1798.65157545826</v>
      </c>
      <c r="D249" s="5" t="n">
        <f aca="false">-IPMT($B$2/12,244,$B$3*12,$B$1)</f>
        <v>795.150558534224</v>
      </c>
      <c r="E249" s="5" t="n">
        <f aca="false">-PPMT($B$2/12,244,$B$3*12,$B$1)</f>
        <v>1003.50101692403</v>
      </c>
      <c r="F249" s="5" t="n">
        <f aca="false">B249-E249</f>
        <v>158026.610689918</v>
      </c>
    </row>
    <row r="250" customFormat="false" ht="15" hidden="false" customHeight="false" outlineLevel="0" collapsed="false">
      <c r="A250" s="0" t="n">
        <v>245</v>
      </c>
      <c r="B250" s="5" t="n">
        <f aca="false">F249</f>
        <v>158026.610689918</v>
      </c>
      <c r="C250" s="5" t="n">
        <f aca="false">-PMT($B$2/12,$B$3*12,$B$1)</f>
        <v>1798.65157545826</v>
      </c>
      <c r="D250" s="5" t="n">
        <f aca="false">-IPMT($B$2/12,245,$B$3*12,$B$1)</f>
        <v>790.133053449604</v>
      </c>
      <c r="E250" s="5" t="n">
        <f aca="false">-PPMT($B$2/12,245,$B$3*12,$B$1)</f>
        <v>1008.51852200865</v>
      </c>
      <c r="F250" s="5" t="n">
        <f aca="false">B250-E250</f>
        <v>157018.092167909</v>
      </c>
    </row>
    <row r="251" customFormat="false" ht="15" hidden="false" customHeight="false" outlineLevel="0" collapsed="false">
      <c r="A251" s="0" t="n">
        <v>246</v>
      </c>
      <c r="B251" s="5" t="n">
        <f aca="false">F250</f>
        <v>157018.092167909</v>
      </c>
      <c r="C251" s="5" t="n">
        <f aca="false">-PMT($B$2/12,$B$3*12,$B$1)</f>
        <v>1798.65157545826</v>
      </c>
      <c r="D251" s="5" t="n">
        <f aca="false">-IPMT($B$2/12,246,$B$3*12,$B$1)</f>
        <v>785.09046083956</v>
      </c>
      <c r="E251" s="5" t="n">
        <f aca="false">-PPMT($B$2/12,246,$B$3*12,$B$1)</f>
        <v>1013.5611146187</v>
      </c>
      <c r="F251" s="5" t="n">
        <f aca="false">B251-E251</f>
        <v>156004.53105329</v>
      </c>
    </row>
    <row r="252" customFormat="false" ht="15" hidden="false" customHeight="false" outlineLevel="0" collapsed="false">
      <c r="A252" s="0" t="n">
        <v>247</v>
      </c>
      <c r="B252" s="5" t="n">
        <f aca="false">F251</f>
        <v>156004.53105329</v>
      </c>
      <c r="C252" s="5" t="n">
        <f aca="false">-PMT($B$2/12,$B$3*12,$B$1)</f>
        <v>1798.65157545826</v>
      </c>
      <c r="D252" s="5" t="n">
        <f aca="false">-IPMT($B$2/12,247,$B$3*12,$B$1)</f>
        <v>780.022655266467</v>
      </c>
      <c r="E252" s="5" t="n">
        <f aca="false">-PPMT($B$2/12,247,$B$3*12,$B$1)</f>
        <v>1018.62892019179</v>
      </c>
      <c r="F252" s="5" t="n">
        <f aca="false">B252-E252</f>
        <v>154985.902133098</v>
      </c>
    </row>
    <row r="253" customFormat="false" ht="15" hidden="false" customHeight="false" outlineLevel="0" collapsed="false">
      <c r="A253" s="0" t="n">
        <v>248</v>
      </c>
      <c r="B253" s="5" t="n">
        <f aca="false">F252</f>
        <v>154985.902133098</v>
      </c>
      <c r="C253" s="5" t="n">
        <f aca="false">-PMT($B$2/12,$B$3*12,$B$1)</f>
        <v>1798.65157545826</v>
      </c>
      <c r="D253" s="5" t="n">
        <f aca="false">-IPMT($B$2/12,248,$B$3*12,$B$1)</f>
        <v>774.929510665509</v>
      </c>
      <c r="E253" s="5" t="n">
        <f aca="false">-PPMT($B$2/12,248,$B$3*12,$B$1)</f>
        <v>1023.72206479275</v>
      </c>
      <c r="F253" s="5" t="n">
        <f aca="false">B253-E253</f>
        <v>153962.180068306</v>
      </c>
    </row>
    <row r="254" customFormat="false" ht="15" hidden="false" customHeight="false" outlineLevel="0" collapsed="false">
      <c r="A254" s="0" t="n">
        <v>249</v>
      </c>
      <c r="B254" s="5" t="n">
        <f aca="false">F253</f>
        <v>153962.180068306</v>
      </c>
      <c r="C254" s="5" t="n">
        <f aca="false">-PMT($B$2/12,$B$3*12,$B$1)</f>
        <v>1798.65157545826</v>
      </c>
      <c r="D254" s="5" t="n">
        <f aca="false">-IPMT($B$2/12,249,$B$3*12,$B$1)</f>
        <v>769.810900341545</v>
      </c>
      <c r="E254" s="5" t="n">
        <f aca="false">-PPMT($B$2/12,249,$B$3*12,$B$1)</f>
        <v>1028.84067511671</v>
      </c>
      <c r="F254" s="5" t="n">
        <f aca="false">B254-E254</f>
        <v>152933.339393189</v>
      </c>
    </row>
    <row r="255" customFormat="false" ht="15" hidden="false" customHeight="false" outlineLevel="0" collapsed="false">
      <c r="A255" s="0" t="n">
        <v>250</v>
      </c>
      <c r="B255" s="5" t="n">
        <f aca="false">F254</f>
        <v>152933.339393189</v>
      </c>
      <c r="C255" s="5" t="n">
        <f aca="false">-PMT($B$2/12,$B$3*12,$B$1)</f>
        <v>1798.65157545826</v>
      </c>
      <c r="D255" s="5" t="n">
        <f aca="false">-IPMT($B$2/12,250,$B$3*12,$B$1)</f>
        <v>764.666696965961</v>
      </c>
      <c r="E255" s="5" t="n">
        <f aca="false">-PPMT($B$2/12,250,$B$3*12,$B$1)</f>
        <v>1033.9848784923</v>
      </c>
      <c r="F255" s="5" t="n">
        <f aca="false">B255-E255</f>
        <v>151899.354514697</v>
      </c>
    </row>
    <row r="256" customFormat="false" ht="15" hidden="false" customHeight="false" outlineLevel="0" collapsed="false">
      <c r="A256" s="0" t="n">
        <v>251</v>
      </c>
      <c r="B256" s="5" t="n">
        <f aca="false">F255</f>
        <v>151899.354514697</v>
      </c>
      <c r="C256" s="5" t="n">
        <f aca="false">-PMT($B$2/12,$B$3*12,$B$1)</f>
        <v>1798.65157545826</v>
      </c>
      <c r="D256" s="5" t="n">
        <f aca="false">-IPMT($B$2/12,251,$B$3*12,$B$1)</f>
        <v>759.4967725735</v>
      </c>
      <c r="E256" s="5" t="n">
        <f aca="false">-PPMT($B$2/12,251,$B$3*12,$B$1)</f>
        <v>1039.15480288476</v>
      </c>
      <c r="F256" s="5" t="n">
        <f aca="false">B256-E256</f>
        <v>150860.199711812</v>
      </c>
    </row>
    <row r="257" customFormat="false" ht="15" hidden="false" customHeight="false" outlineLevel="0" collapsed="false">
      <c r="A257" s="0" t="n">
        <v>252</v>
      </c>
      <c r="B257" s="5" t="n">
        <f aca="false">F256</f>
        <v>150860.199711812</v>
      </c>
      <c r="C257" s="5" t="n">
        <f aca="false">-PMT($B$2/12,$B$3*12,$B$1)</f>
        <v>1798.65157545826</v>
      </c>
      <c r="D257" s="5" t="n">
        <f aca="false">-IPMT($B$2/12,252,$B$3*12,$B$1)</f>
        <v>754.300998559076</v>
      </c>
      <c r="E257" s="5" t="n">
        <f aca="false">-PPMT($B$2/12,252,$B$3*12,$B$1)</f>
        <v>1044.35057689918</v>
      </c>
      <c r="F257" s="5" t="n">
        <f aca="false">B257-E257</f>
        <v>149815.849134913</v>
      </c>
    </row>
    <row r="258" customFormat="false" ht="15" hidden="false" customHeight="false" outlineLevel="0" collapsed="false">
      <c r="A258" s="0" t="n">
        <v>253</v>
      </c>
      <c r="B258" s="5" t="n">
        <f aca="false">F257</f>
        <v>149815.849134913</v>
      </c>
      <c r="C258" s="5" t="n">
        <f aca="false">-PMT($B$2/12,$B$3*12,$B$1)</f>
        <v>1798.65157545826</v>
      </c>
      <c r="D258" s="5" t="n">
        <f aca="false">-IPMT($B$2/12,253,$B$3*12,$B$1)</f>
        <v>749.079245674581</v>
      </c>
      <c r="E258" s="5" t="n">
        <f aca="false">-PPMT($B$2/12,253,$B$3*12,$B$1)</f>
        <v>1049.57232978368</v>
      </c>
      <c r="F258" s="5" t="n">
        <f aca="false">B258-E258</f>
        <v>148766.276805129</v>
      </c>
    </row>
    <row r="259" customFormat="false" ht="15" hidden="false" customHeight="false" outlineLevel="0" collapsed="false">
      <c r="A259" s="0" t="n">
        <v>254</v>
      </c>
      <c r="B259" s="5" t="n">
        <f aca="false">F258</f>
        <v>148766.276805129</v>
      </c>
      <c r="C259" s="5" t="n">
        <f aca="false">-PMT($B$2/12,$B$3*12,$B$1)</f>
        <v>1798.65157545826</v>
      </c>
      <c r="D259" s="5" t="n">
        <f aca="false">-IPMT($B$2/12,254,$B$3*12,$B$1)</f>
        <v>743.831384025662</v>
      </c>
      <c r="E259" s="5" t="n">
        <f aca="false">-PPMT($B$2/12,254,$B$3*12,$B$1)</f>
        <v>1054.8201914326</v>
      </c>
      <c r="F259" s="5" t="n">
        <f aca="false">B259-E259</f>
        <v>147711.456613696</v>
      </c>
    </row>
    <row r="260" customFormat="false" ht="15" hidden="false" customHeight="false" outlineLevel="0" collapsed="false">
      <c r="A260" s="0" t="n">
        <v>255</v>
      </c>
      <c r="B260" s="5" t="n">
        <f aca="false">F259</f>
        <v>147711.456613696</v>
      </c>
      <c r="C260" s="5" t="n">
        <f aca="false">-PMT($B$2/12,$B$3*12,$B$1)</f>
        <v>1798.65157545826</v>
      </c>
      <c r="D260" s="5" t="n">
        <f aca="false">-IPMT($B$2/12,255,$B$3*12,$B$1)</f>
        <v>738.5572830685</v>
      </c>
      <c r="E260" s="5" t="n">
        <f aca="false">-PPMT($B$2/12,255,$B$3*12,$B$1)</f>
        <v>1060.09429238976</v>
      </c>
      <c r="F260" s="5" t="n">
        <f aca="false">B260-E260</f>
        <v>146651.362321307</v>
      </c>
    </row>
    <row r="261" customFormat="false" ht="15" hidden="false" customHeight="false" outlineLevel="0" collapsed="false">
      <c r="A261" s="0" t="n">
        <v>256</v>
      </c>
      <c r="B261" s="5" t="n">
        <f aca="false">F260</f>
        <v>146651.362321307</v>
      </c>
      <c r="C261" s="5" t="n">
        <f aca="false">-PMT($B$2/12,$B$3*12,$B$1)</f>
        <v>1798.65157545826</v>
      </c>
      <c r="D261" s="5" t="n">
        <f aca="false">-IPMT($B$2/12,256,$B$3*12,$B$1)</f>
        <v>733.256811606551</v>
      </c>
      <c r="E261" s="5" t="n">
        <f aca="false">-PPMT($B$2/12,256,$B$3*12,$B$1)</f>
        <v>1065.39476385171</v>
      </c>
      <c r="F261" s="5" t="n">
        <f aca="false">B261-E261</f>
        <v>145585.967557455</v>
      </c>
    </row>
    <row r="262" customFormat="false" ht="15" hidden="false" customHeight="false" outlineLevel="0" collapsed="false">
      <c r="A262" s="0" t="n">
        <v>257</v>
      </c>
      <c r="B262" s="5" t="n">
        <f aca="false">F261</f>
        <v>145585.967557455</v>
      </c>
      <c r="C262" s="5" t="n">
        <f aca="false">-PMT($B$2/12,$B$3*12,$B$1)</f>
        <v>1798.65157545826</v>
      </c>
      <c r="D262" s="5" t="n">
        <f aca="false">-IPMT($B$2/12,257,$B$3*12,$B$1)</f>
        <v>727.929837787292</v>
      </c>
      <c r="E262" s="5" t="n">
        <f aca="false">-PPMT($B$2/12,257,$B$3*12,$B$1)</f>
        <v>1070.72173767097</v>
      </c>
      <c r="F262" s="5" t="n">
        <f aca="false">B262-E262</f>
        <v>144515.245819784</v>
      </c>
    </row>
    <row r="263" customFormat="false" ht="15" hidden="false" customHeight="false" outlineLevel="0" collapsed="false">
      <c r="A263" s="0" t="n">
        <v>258</v>
      </c>
      <c r="B263" s="5" t="n">
        <f aca="false">F262</f>
        <v>144515.245819784</v>
      </c>
      <c r="C263" s="5" t="n">
        <f aca="false">-PMT($B$2/12,$B$3*12,$B$1)</f>
        <v>1798.65157545826</v>
      </c>
      <c r="D263" s="5" t="n">
        <f aca="false">-IPMT($B$2/12,258,$B$3*12,$B$1)</f>
        <v>722.576229098938</v>
      </c>
      <c r="E263" s="5" t="n">
        <f aca="false">-PPMT($B$2/12,258,$B$3*12,$B$1)</f>
        <v>1076.07534635932</v>
      </c>
      <c r="F263" s="5" t="n">
        <f aca="false">B263-E263</f>
        <v>143439.170473425</v>
      </c>
    </row>
    <row r="264" customFormat="false" ht="15" hidden="false" customHeight="false" outlineLevel="0" collapsed="false">
      <c r="A264" s="0" t="n">
        <v>259</v>
      </c>
      <c r="B264" s="5" t="n">
        <f aca="false">F263</f>
        <v>143439.170473425</v>
      </c>
      <c r="C264" s="5" t="n">
        <f aca="false">-PMT($B$2/12,$B$3*12,$B$1)</f>
        <v>1798.65157545826</v>
      </c>
      <c r="D264" s="5" t="n">
        <f aca="false">-IPMT($B$2/12,259,$B$3*12,$B$1)</f>
        <v>717.195852367142</v>
      </c>
      <c r="E264" s="5" t="n">
        <f aca="false">-PPMT($B$2/12,259,$B$3*12,$B$1)</f>
        <v>1081.45572309112</v>
      </c>
      <c r="F264" s="5" t="n">
        <f aca="false">B264-E264</f>
        <v>142357.714750334</v>
      </c>
    </row>
    <row r="265" customFormat="false" ht="15" hidden="false" customHeight="false" outlineLevel="0" collapsed="false">
      <c r="A265" s="0" t="n">
        <v>260</v>
      </c>
      <c r="B265" s="5" t="n">
        <f aca="false">F264</f>
        <v>142357.714750334</v>
      </c>
      <c r="C265" s="5" t="n">
        <f aca="false">-PMT($B$2/12,$B$3*12,$B$1)</f>
        <v>1798.65157545826</v>
      </c>
      <c r="D265" s="5" t="n">
        <f aca="false">-IPMT($B$2/12,260,$B$3*12,$B$1)</f>
        <v>711.788573751686</v>
      </c>
      <c r="E265" s="5" t="n">
        <f aca="false">-PPMT($B$2/12,260,$B$3*12,$B$1)</f>
        <v>1086.86300170657</v>
      </c>
      <c r="F265" s="5" t="n">
        <f aca="false">B265-E265</f>
        <v>141270.851748627</v>
      </c>
    </row>
    <row r="266" customFormat="false" ht="15" hidden="false" customHeight="false" outlineLevel="0" collapsed="false">
      <c r="A266" s="0" t="n">
        <v>261</v>
      </c>
      <c r="B266" s="5" t="n">
        <f aca="false">F265</f>
        <v>141270.851748627</v>
      </c>
      <c r="C266" s="5" t="n">
        <f aca="false">-PMT($B$2/12,$B$3*12,$B$1)</f>
        <v>1798.65157545826</v>
      </c>
      <c r="D266" s="5" t="n">
        <f aca="false">-IPMT($B$2/12,261,$B$3*12,$B$1)</f>
        <v>706.354258743153</v>
      </c>
      <c r="E266" s="5" t="n">
        <f aca="false">-PPMT($B$2/12,261,$B$3*12,$B$1)</f>
        <v>1092.2973167151</v>
      </c>
      <c r="F266" s="5" t="n">
        <f aca="false">B266-E266</f>
        <v>140178.554431912</v>
      </c>
    </row>
    <row r="267" customFormat="false" ht="15" hidden="false" customHeight="false" outlineLevel="0" collapsed="false">
      <c r="A267" s="0" t="n">
        <v>262</v>
      </c>
      <c r="B267" s="5" t="n">
        <f aca="false">F266</f>
        <v>140178.554431912</v>
      </c>
      <c r="C267" s="5" t="n">
        <f aca="false">-PMT($B$2/12,$B$3*12,$B$1)</f>
        <v>1798.65157545826</v>
      </c>
      <c r="D267" s="5" t="n">
        <f aca="false">-IPMT($B$2/12,262,$B$3*12,$B$1)</f>
        <v>700.892772159578</v>
      </c>
      <c r="E267" s="5" t="n">
        <f aca="false">-PPMT($B$2/12,262,$B$3*12,$B$1)</f>
        <v>1097.75880329868</v>
      </c>
      <c r="F267" s="5" t="n">
        <f aca="false">B267-E267</f>
        <v>139080.795628613</v>
      </c>
    </row>
    <row r="268" customFormat="false" ht="15" hidden="false" customHeight="false" outlineLevel="0" collapsed="false">
      <c r="A268" s="0" t="n">
        <v>263</v>
      </c>
      <c r="B268" s="5" t="n">
        <f aca="false">F267</f>
        <v>139080.795628613</v>
      </c>
      <c r="C268" s="5" t="n">
        <f aca="false">-PMT($B$2/12,$B$3*12,$B$1)</f>
        <v>1798.65157545826</v>
      </c>
      <c r="D268" s="5" t="n">
        <f aca="false">-IPMT($B$2/12,263,$B$3*12,$B$1)</f>
        <v>695.403978143084</v>
      </c>
      <c r="E268" s="5" t="n">
        <f aca="false">-PPMT($B$2/12,263,$B$3*12,$B$1)</f>
        <v>1103.24759731517</v>
      </c>
      <c r="F268" s="5" t="n">
        <f aca="false">B268-E268</f>
        <v>137977.548031298</v>
      </c>
    </row>
    <row r="269" customFormat="false" ht="15" hidden="false" customHeight="false" outlineLevel="0" collapsed="false">
      <c r="A269" s="0" t="n">
        <v>264</v>
      </c>
      <c r="B269" s="5" t="n">
        <f aca="false">F268</f>
        <v>137977.548031298</v>
      </c>
      <c r="C269" s="5" t="n">
        <f aca="false">-PMT($B$2/12,$B$3*12,$B$1)</f>
        <v>1798.65157545826</v>
      </c>
      <c r="D269" s="5" t="n">
        <f aca="false">-IPMT($B$2/12,264,$B$3*12,$B$1)</f>
        <v>689.887740156508</v>
      </c>
      <c r="E269" s="5" t="n">
        <f aca="false">-PPMT($B$2/12,264,$B$3*12,$B$1)</f>
        <v>1108.76383530175</v>
      </c>
      <c r="F269" s="5" t="n">
        <f aca="false">B269-E269</f>
        <v>136868.784195996</v>
      </c>
    </row>
    <row r="270" customFormat="false" ht="15" hidden="false" customHeight="false" outlineLevel="0" collapsed="false">
      <c r="A270" s="0" t="n">
        <v>265</v>
      </c>
      <c r="B270" s="5" t="n">
        <f aca="false">F269</f>
        <v>136868.784195996</v>
      </c>
      <c r="C270" s="5" t="n">
        <f aca="false">-PMT($B$2/12,$B$3*12,$B$1)</f>
        <v>1798.65157545826</v>
      </c>
      <c r="D270" s="5" t="n">
        <f aca="false">-IPMT($B$2/12,265,$B$3*12,$B$1)</f>
        <v>684.34392098</v>
      </c>
      <c r="E270" s="5" t="n">
        <f aca="false">-PPMT($B$2/12,265,$B$3*12,$B$1)</f>
        <v>1114.30765447826</v>
      </c>
      <c r="F270" s="5" t="n">
        <f aca="false">B270-E270</f>
        <v>135754.476541518</v>
      </c>
    </row>
    <row r="271" customFormat="false" ht="15" hidden="false" customHeight="false" outlineLevel="0" collapsed="false">
      <c r="A271" s="0" t="n">
        <v>266</v>
      </c>
      <c r="B271" s="5" t="n">
        <f aca="false">F270</f>
        <v>135754.476541518</v>
      </c>
      <c r="C271" s="5" t="n">
        <f aca="false">-PMT($B$2/12,$B$3*12,$B$1)</f>
        <v>1798.65157545826</v>
      </c>
      <c r="D271" s="5" t="n">
        <f aca="false">-IPMT($B$2/12,266,$B$3*12,$B$1)</f>
        <v>678.772382707609</v>
      </c>
      <c r="E271" s="5" t="n">
        <f aca="false">-PPMT($B$2/12,266,$B$3*12,$B$1)</f>
        <v>1119.87919275065</v>
      </c>
      <c r="F271" s="5" t="n">
        <f aca="false">B271-E271</f>
        <v>134634.597348767</v>
      </c>
    </row>
    <row r="272" customFormat="false" ht="15" hidden="false" customHeight="false" outlineLevel="0" collapsed="false">
      <c r="A272" s="0" t="n">
        <v>267</v>
      </c>
      <c r="B272" s="5" t="n">
        <f aca="false">F271</f>
        <v>134634.597348767</v>
      </c>
      <c r="C272" s="5" t="n">
        <f aca="false">-PMT($B$2/12,$B$3*12,$B$1)</f>
        <v>1798.65157545826</v>
      </c>
      <c r="D272" s="5" t="n">
        <f aca="false">-IPMT($B$2/12,267,$B$3*12,$B$1)</f>
        <v>673.172986743855</v>
      </c>
      <c r="E272" s="5" t="n">
        <f aca="false">-PPMT($B$2/12,267,$B$3*12,$B$1)</f>
        <v>1125.4785887144</v>
      </c>
      <c r="F272" s="5" t="n">
        <f aca="false">B272-E272</f>
        <v>133509.118760053</v>
      </c>
    </row>
    <row r="273" customFormat="false" ht="15" hidden="false" customHeight="false" outlineLevel="0" collapsed="false">
      <c r="A273" s="0" t="n">
        <v>268</v>
      </c>
      <c r="B273" s="5" t="n">
        <f aca="false">F272</f>
        <v>133509.118760053</v>
      </c>
      <c r="C273" s="5" t="n">
        <f aca="false">-PMT($B$2/12,$B$3*12,$B$1)</f>
        <v>1798.65157545826</v>
      </c>
      <c r="D273" s="5" t="n">
        <f aca="false">-IPMT($B$2/12,268,$B$3*12,$B$1)</f>
        <v>667.545593800284</v>
      </c>
      <c r="E273" s="5" t="n">
        <f aca="false">-PPMT($B$2/12,268,$B$3*12,$B$1)</f>
        <v>1131.10598165797</v>
      </c>
      <c r="F273" s="5" t="n">
        <f aca="false">B273-E273</f>
        <v>132378.012778395</v>
      </c>
    </row>
    <row r="274" customFormat="false" ht="15" hidden="false" customHeight="false" outlineLevel="0" collapsed="false">
      <c r="A274" s="0" t="n">
        <v>269</v>
      </c>
      <c r="B274" s="5" t="n">
        <f aca="false">F273</f>
        <v>132378.012778395</v>
      </c>
      <c r="C274" s="5" t="n">
        <f aca="false">-PMT($B$2/12,$B$3*12,$B$1)</f>
        <v>1798.65157545826</v>
      </c>
      <c r="D274" s="5" t="n">
        <f aca="false">-IPMT($B$2/12,269,$B$3*12,$B$1)</f>
        <v>661.890063891994</v>
      </c>
      <c r="E274" s="5" t="n">
        <f aca="false">-PPMT($B$2/12,269,$B$3*12,$B$1)</f>
        <v>1136.76151156626</v>
      </c>
      <c r="F274" s="5" t="n">
        <f aca="false">B274-E274</f>
        <v>131241.251266829</v>
      </c>
    </row>
    <row r="275" customFormat="false" ht="15" hidden="false" customHeight="false" outlineLevel="0" collapsed="false">
      <c r="A275" s="0" t="n">
        <v>270</v>
      </c>
      <c r="B275" s="5" t="n">
        <f aca="false">F274</f>
        <v>131241.251266829</v>
      </c>
      <c r="C275" s="5" t="n">
        <f aca="false">-PMT($B$2/12,$B$3*12,$B$1)</f>
        <v>1798.65157545826</v>
      </c>
      <c r="D275" s="5" t="n">
        <f aca="false">-IPMT($B$2/12,270,$B$3*12,$B$1)</f>
        <v>656.206256334162</v>
      </c>
      <c r="E275" s="5" t="n">
        <f aca="false">-PPMT($B$2/12,270,$B$3*12,$B$1)</f>
        <v>1142.4453191241</v>
      </c>
      <c r="F275" s="5" t="n">
        <f aca="false">B275-E275</f>
        <v>130098.805947705</v>
      </c>
    </row>
    <row r="276" customFormat="false" ht="15" hidden="false" customHeight="false" outlineLevel="0" collapsed="false">
      <c r="A276" s="0" t="n">
        <v>271</v>
      </c>
      <c r="B276" s="5" t="n">
        <f aca="false">F275</f>
        <v>130098.805947705</v>
      </c>
      <c r="C276" s="5" t="n">
        <f aca="false">-PMT($B$2/12,$B$3*12,$B$1)</f>
        <v>1798.65157545826</v>
      </c>
      <c r="D276" s="5" t="n">
        <f aca="false">-IPMT($B$2/12,271,$B$3*12,$B$1)</f>
        <v>650.494029738543</v>
      </c>
      <c r="E276" s="5" t="n">
        <f aca="false">-PPMT($B$2/12,271,$B$3*12,$B$1)</f>
        <v>1148.15754571971</v>
      </c>
      <c r="F276" s="5" t="n">
        <f aca="false">B276-E276</f>
        <v>128950.648401985</v>
      </c>
    </row>
    <row r="277" customFormat="false" ht="15" hidden="false" customHeight="false" outlineLevel="0" collapsed="false">
      <c r="A277" s="0" t="n">
        <v>272</v>
      </c>
      <c r="B277" s="5" t="n">
        <f aca="false">F276</f>
        <v>128950.648401985</v>
      </c>
      <c r="C277" s="5" t="n">
        <f aca="false">-PMT($B$2/12,$B$3*12,$B$1)</f>
        <v>1798.65157545826</v>
      </c>
      <c r="D277" s="5" t="n">
        <f aca="false">-IPMT($B$2/12,272,$B$3*12,$B$1)</f>
        <v>644.753242009943</v>
      </c>
      <c r="E277" s="5" t="n">
        <f aca="false">-PPMT($B$2/12,272,$B$3*12,$B$1)</f>
        <v>1153.89833344831</v>
      </c>
      <c r="F277" s="5" t="n">
        <f aca="false">B277-E277</f>
        <v>127796.750068537</v>
      </c>
    </row>
    <row r="278" customFormat="false" ht="15" hidden="false" customHeight="false" outlineLevel="0" collapsed="false">
      <c r="A278" s="0" t="n">
        <v>273</v>
      </c>
      <c r="B278" s="5" t="n">
        <f aca="false">F277</f>
        <v>127796.750068537</v>
      </c>
      <c r="C278" s="5" t="n">
        <f aca="false">-PMT($B$2/12,$B$3*12,$B$1)</f>
        <v>1798.65157545826</v>
      </c>
      <c r="D278" s="5" t="n">
        <f aca="false">-IPMT($B$2/12,273,$B$3*12,$B$1)</f>
        <v>638.983750342702</v>
      </c>
      <c r="E278" s="5" t="n">
        <f aca="false">-PPMT($B$2/12,273,$B$3*12,$B$1)</f>
        <v>1159.66782511556</v>
      </c>
      <c r="F278" s="5" t="n">
        <f aca="false">B278-E278</f>
        <v>126637.082243421</v>
      </c>
    </row>
    <row r="279" customFormat="false" ht="15" hidden="false" customHeight="false" outlineLevel="0" collapsed="false">
      <c r="A279" s="0" t="n">
        <v>274</v>
      </c>
      <c r="B279" s="5" t="n">
        <f aca="false">F278</f>
        <v>126637.082243421</v>
      </c>
      <c r="C279" s="5" t="n">
        <f aca="false">-PMT($B$2/12,$B$3*12,$B$1)</f>
        <v>1798.65157545826</v>
      </c>
      <c r="D279" s="5" t="n">
        <f aca="false">-IPMT($B$2/12,274,$B$3*12,$B$1)</f>
        <v>633.185411217125</v>
      </c>
      <c r="E279" s="5" t="n">
        <f aca="false">-PPMT($B$2/12,274,$B$3*12,$B$1)</f>
        <v>1165.46616424113</v>
      </c>
      <c r="F279" s="5" t="n">
        <f aca="false">B279-E279</f>
        <v>125471.61607918</v>
      </c>
    </row>
    <row r="280" customFormat="false" ht="15" hidden="false" customHeight="false" outlineLevel="0" collapsed="false">
      <c r="A280" s="0" t="n">
        <v>275</v>
      </c>
      <c r="B280" s="5" t="n">
        <f aca="false">F279</f>
        <v>125471.61607918</v>
      </c>
      <c r="C280" s="5" t="n">
        <f aca="false">-PMT($B$2/12,$B$3*12,$B$1)</f>
        <v>1798.65157545826</v>
      </c>
      <c r="D280" s="5" t="n">
        <f aca="false">-IPMT($B$2/12,275,$B$3*12,$B$1)</f>
        <v>627.358080395919</v>
      </c>
      <c r="E280" s="5" t="n">
        <f aca="false">-PPMT($B$2/12,275,$B$3*12,$B$1)</f>
        <v>1171.29349506234</v>
      </c>
      <c r="F280" s="5" t="n">
        <f aca="false">B280-E280</f>
        <v>124300.322584118</v>
      </c>
    </row>
    <row r="281" customFormat="false" ht="15" hidden="false" customHeight="false" outlineLevel="0" collapsed="false">
      <c r="A281" s="0" t="n">
        <v>276</v>
      </c>
      <c r="B281" s="5" t="n">
        <f aca="false">F280</f>
        <v>124300.322584118</v>
      </c>
      <c r="C281" s="5" t="n">
        <f aca="false">-PMT($B$2/12,$B$3*12,$B$1)</f>
        <v>1798.65157545826</v>
      </c>
      <c r="D281" s="5" t="n">
        <f aca="false">-IPMT($B$2/12,276,$B$3*12,$B$1)</f>
        <v>621.501612920608</v>
      </c>
      <c r="E281" s="5" t="n">
        <f aca="false">-PPMT($B$2/12,276,$B$3*12,$B$1)</f>
        <v>1177.14996253765</v>
      </c>
      <c r="F281" s="5" t="n">
        <f aca="false">B281-E281</f>
        <v>123123.17262158</v>
      </c>
    </row>
    <row r="282" customFormat="false" ht="15" hidden="false" customHeight="false" outlineLevel="0" collapsed="false">
      <c r="A282" s="0" t="n">
        <v>277</v>
      </c>
      <c r="B282" s="5" t="n">
        <f aca="false">F281</f>
        <v>123123.17262158</v>
      </c>
      <c r="C282" s="5" t="n">
        <f aca="false">-PMT($B$2/12,$B$3*12,$B$1)</f>
        <v>1798.65157545826</v>
      </c>
      <c r="D282" s="5" t="n">
        <f aca="false">-IPMT($B$2/12,277,$B$3*12,$B$1)</f>
        <v>615.615863107921</v>
      </c>
      <c r="E282" s="5" t="n">
        <f aca="false">-PPMT($B$2/12,277,$B$3*12,$B$1)</f>
        <v>1183.03571235034</v>
      </c>
      <c r="F282" s="5" t="n">
        <f aca="false">B282-E282</f>
        <v>121940.13690923</v>
      </c>
    </row>
    <row r="283" customFormat="false" ht="15" hidden="false" customHeight="false" outlineLevel="0" collapsed="false">
      <c r="A283" s="0" t="n">
        <v>278</v>
      </c>
      <c r="B283" s="5" t="n">
        <f aca="false">F282</f>
        <v>121940.13690923</v>
      </c>
      <c r="C283" s="5" t="n">
        <f aca="false">-PMT($B$2/12,$B$3*12,$B$1)</f>
        <v>1798.65157545826</v>
      </c>
      <c r="D283" s="5" t="n">
        <f aca="false">-IPMT($B$2/12,278,$B$3*12,$B$1)</f>
        <v>609.700684546168</v>
      </c>
      <c r="E283" s="5" t="n">
        <f aca="false">-PPMT($B$2/12,278,$B$3*12,$B$1)</f>
        <v>1188.95089091209</v>
      </c>
      <c r="F283" s="5" t="n">
        <f aca="false">B283-E283</f>
        <v>120751.186018318</v>
      </c>
    </row>
    <row r="284" customFormat="false" ht="15" hidden="false" customHeight="false" outlineLevel="0" collapsed="false">
      <c r="A284" s="0" t="n">
        <v>279</v>
      </c>
      <c r="B284" s="5" t="n">
        <f aca="false">F283</f>
        <v>120751.186018318</v>
      </c>
      <c r="C284" s="5" t="n">
        <f aca="false">-PMT($B$2/12,$B$3*12,$B$1)</f>
        <v>1798.65157545826</v>
      </c>
      <c r="D284" s="5" t="n">
        <f aca="false">-IPMT($B$2/12,279,$B$3*12,$B$1)</f>
        <v>603.755930091607</v>
      </c>
      <c r="E284" s="5" t="n">
        <f aca="false">-PPMT($B$2/12,279,$B$3*12,$B$1)</f>
        <v>1194.89564536665</v>
      </c>
      <c r="F284" s="5" t="n">
        <f aca="false">B284-E284</f>
        <v>119556.290372951</v>
      </c>
    </row>
    <row r="285" customFormat="false" ht="15" hidden="false" customHeight="false" outlineLevel="0" collapsed="false">
      <c r="A285" s="0" t="n">
        <v>280</v>
      </c>
      <c r="B285" s="5" t="n">
        <f aca="false">F284</f>
        <v>119556.290372951</v>
      </c>
      <c r="C285" s="5" t="n">
        <f aca="false">-PMT($B$2/12,$B$3*12,$B$1)</f>
        <v>1798.65157545826</v>
      </c>
      <c r="D285" s="5" t="n">
        <f aca="false">-IPMT($B$2/12,280,$B$3*12,$B$1)</f>
        <v>597.781451864775</v>
      </c>
      <c r="E285" s="5" t="n">
        <f aca="false">-PPMT($B$2/12,280,$B$3*12,$B$1)</f>
        <v>1200.87012359348</v>
      </c>
      <c r="F285" s="5" t="n">
        <f aca="false">B285-E285</f>
        <v>118355.420249357</v>
      </c>
    </row>
    <row r="286" customFormat="false" ht="15" hidden="false" customHeight="false" outlineLevel="0" collapsed="false">
      <c r="A286" s="0" t="n">
        <v>281</v>
      </c>
      <c r="B286" s="5" t="n">
        <f aca="false">F285</f>
        <v>118355.420249357</v>
      </c>
      <c r="C286" s="5" t="n">
        <f aca="false">-PMT($B$2/12,$B$3*12,$B$1)</f>
        <v>1798.65157545826</v>
      </c>
      <c r="D286" s="5" t="n">
        <f aca="false">-IPMT($B$2/12,281,$B$3*12,$B$1)</f>
        <v>591.777101246807</v>
      </c>
      <c r="E286" s="5" t="n">
        <f aca="false">-PPMT($B$2/12,281,$B$3*12,$B$1)</f>
        <v>1206.87447421145</v>
      </c>
      <c r="F286" s="5" t="n">
        <f aca="false">B286-E286</f>
        <v>117148.545775146</v>
      </c>
    </row>
    <row r="287" customFormat="false" ht="15" hidden="false" customHeight="false" outlineLevel="0" collapsed="false">
      <c r="A287" s="0" t="n">
        <v>282</v>
      </c>
      <c r="B287" s="5" t="n">
        <f aca="false">F286</f>
        <v>117148.545775146</v>
      </c>
      <c r="C287" s="5" t="n">
        <f aca="false">-PMT($B$2/12,$B$3*12,$B$1)</f>
        <v>1798.65157545826</v>
      </c>
      <c r="D287" s="5" t="n">
        <f aca="false">-IPMT($B$2/12,282,$B$3*12,$B$1)</f>
        <v>585.742728875751</v>
      </c>
      <c r="E287" s="5" t="n">
        <f aca="false">-PPMT($B$2/12,282,$B$3*12,$B$1)</f>
        <v>1212.90884658251</v>
      </c>
      <c r="F287" s="5" t="n">
        <f aca="false">B287-E287</f>
        <v>115935.636928563</v>
      </c>
    </row>
    <row r="288" customFormat="false" ht="15" hidden="false" customHeight="false" outlineLevel="0" collapsed="false">
      <c r="A288" s="0" t="n">
        <v>283</v>
      </c>
      <c r="B288" s="5" t="n">
        <f aca="false">F287</f>
        <v>115935.636928563</v>
      </c>
      <c r="C288" s="5" t="n">
        <f aca="false">-PMT($B$2/12,$B$3*12,$B$1)</f>
        <v>1798.65157545826</v>
      </c>
      <c r="D288" s="5" t="n">
        <f aca="false">-IPMT($B$2/12,283,$B$3*12,$B$1)</f>
        <v>579.678184642838</v>
      </c>
      <c r="E288" s="5" t="n">
        <f aca="false">-PPMT($B$2/12,283,$B$3*12,$B$1)</f>
        <v>1218.97339081542</v>
      </c>
      <c r="F288" s="5" t="n">
        <f aca="false">B288-E288</f>
        <v>114716.663537748</v>
      </c>
    </row>
    <row r="289" customFormat="false" ht="15" hidden="false" customHeight="false" outlineLevel="0" collapsed="false">
      <c r="A289" s="0" t="n">
        <v>284</v>
      </c>
      <c r="B289" s="5" t="n">
        <f aca="false">F288</f>
        <v>114716.663537748</v>
      </c>
      <c r="C289" s="5" t="n">
        <f aca="false">-PMT($B$2/12,$B$3*12,$B$1)</f>
        <v>1798.65157545826</v>
      </c>
      <c r="D289" s="5" t="n">
        <f aca="false">-IPMT($B$2/12,284,$B$3*12,$B$1)</f>
        <v>573.583317688761</v>
      </c>
      <c r="E289" s="5" t="n">
        <f aca="false">-PPMT($B$2/12,284,$B$3*12,$B$1)</f>
        <v>1225.0682577695</v>
      </c>
      <c r="F289" s="5" t="n">
        <f aca="false">B289-E289</f>
        <v>113491.595279979</v>
      </c>
    </row>
    <row r="290" customFormat="false" ht="15" hidden="false" customHeight="false" outlineLevel="0" collapsed="false">
      <c r="A290" s="0" t="n">
        <v>285</v>
      </c>
      <c r="B290" s="5" t="n">
        <f aca="false">F289</f>
        <v>113491.595279979</v>
      </c>
      <c r="C290" s="5" t="n">
        <f aca="false">-PMT($B$2/12,$B$3*12,$B$1)</f>
        <v>1798.65157545826</v>
      </c>
      <c r="D290" s="5" t="n">
        <f aca="false">-IPMT($B$2/12,285,$B$3*12,$B$1)</f>
        <v>567.457976399913</v>
      </c>
      <c r="E290" s="5" t="n">
        <f aca="false">-PPMT($B$2/12,285,$B$3*12,$B$1)</f>
        <v>1231.19359905834</v>
      </c>
      <c r="F290" s="5" t="n">
        <f aca="false">B290-E290</f>
        <v>112260.40168092</v>
      </c>
    </row>
    <row r="291" customFormat="false" ht="15" hidden="false" customHeight="false" outlineLevel="0" collapsed="false">
      <c r="A291" s="0" t="n">
        <v>286</v>
      </c>
      <c r="B291" s="5" t="n">
        <f aca="false">F290</f>
        <v>112260.40168092</v>
      </c>
      <c r="C291" s="5" t="n">
        <f aca="false">-PMT($B$2/12,$B$3*12,$B$1)</f>
        <v>1798.65157545826</v>
      </c>
      <c r="D291" s="5" t="n">
        <f aca="false">-IPMT($B$2/12,286,$B$3*12,$B$1)</f>
        <v>561.302008404622</v>
      </c>
      <c r="E291" s="5" t="n">
        <f aca="false">-PPMT($B$2/12,286,$B$3*12,$B$1)</f>
        <v>1237.34956705364</v>
      </c>
      <c r="F291" s="5" t="n">
        <f aca="false">B291-E291</f>
        <v>111023.052113867</v>
      </c>
    </row>
    <row r="292" customFormat="false" ht="15" hidden="false" customHeight="false" outlineLevel="0" collapsed="false">
      <c r="A292" s="0" t="n">
        <v>287</v>
      </c>
      <c r="B292" s="5" t="n">
        <f aca="false">F291</f>
        <v>111023.052113867</v>
      </c>
      <c r="C292" s="5" t="n">
        <f aca="false">-PMT($B$2/12,$B$3*12,$B$1)</f>
        <v>1798.65157545826</v>
      </c>
      <c r="D292" s="5" t="n">
        <f aca="false">-IPMT($B$2/12,287,$B$3*12,$B$1)</f>
        <v>555.115260569354</v>
      </c>
      <c r="E292" s="5" t="n">
        <f aca="false">-PPMT($B$2/12,287,$B$3*12,$B$1)</f>
        <v>1243.5363148889</v>
      </c>
      <c r="F292" s="5" t="n">
        <f aca="false">B292-E292</f>
        <v>109779.515798978</v>
      </c>
    </row>
    <row r="293" customFormat="false" ht="15" hidden="false" customHeight="false" outlineLevel="0" collapsed="false">
      <c r="A293" s="0" t="n">
        <v>288</v>
      </c>
      <c r="B293" s="5" t="n">
        <f aca="false">F292</f>
        <v>109779.515798978</v>
      </c>
      <c r="C293" s="5" t="n">
        <f aca="false">-PMT($B$2/12,$B$3*12,$B$1)</f>
        <v>1798.65157545826</v>
      </c>
      <c r="D293" s="5" t="n">
        <f aca="false">-IPMT($B$2/12,288,$B$3*12,$B$1)</f>
        <v>548.89757899491</v>
      </c>
      <c r="E293" s="5" t="n">
        <f aca="false">-PPMT($B$2/12,288,$B$3*12,$B$1)</f>
        <v>1249.75399646335</v>
      </c>
      <c r="F293" s="5" t="n">
        <f aca="false">B293-E293</f>
        <v>108529.761802514</v>
      </c>
    </row>
    <row r="294" customFormat="false" ht="15" hidden="false" customHeight="false" outlineLevel="0" collapsed="false">
      <c r="A294" s="0" t="n">
        <v>289</v>
      </c>
      <c r="B294" s="5" t="n">
        <f aca="false">F293</f>
        <v>108529.761802514</v>
      </c>
      <c r="C294" s="5" t="n">
        <f aca="false">-PMT($B$2/12,$B$3*12,$B$1)</f>
        <v>1798.65157545826</v>
      </c>
      <c r="D294" s="5" t="n">
        <f aca="false">-IPMT($B$2/12,289,$B$3*12,$B$1)</f>
        <v>542.648809012593</v>
      </c>
      <c r="E294" s="5" t="n">
        <f aca="false">-PPMT($B$2/12,289,$B$3*12,$B$1)</f>
        <v>1256.00276644566</v>
      </c>
      <c r="F294" s="5" t="n">
        <f aca="false">B294-E294</f>
        <v>107273.759036069</v>
      </c>
    </row>
    <row r="295" customFormat="false" ht="15" hidden="false" customHeight="false" outlineLevel="0" collapsed="false">
      <c r="A295" s="0" t="n">
        <v>290</v>
      </c>
      <c r="B295" s="5" t="n">
        <f aca="false">F294</f>
        <v>107273.759036069</v>
      </c>
      <c r="C295" s="5" t="n">
        <f aca="false">-PMT($B$2/12,$B$3*12,$B$1)</f>
        <v>1798.65157545826</v>
      </c>
      <c r="D295" s="5" t="n">
        <f aca="false">-IPMT($B$2/12,290,$B$3*12,$B$1)</f>
        <v>536.368795180365</v>
      </c>
      <c r="E295" s="5" t="n">
        <f aca="false">-PPMT($B$2/12,290,$B$3*12,$B$1)</f>
        <v>1262.28278027789</v>
      </c>
      <c r="F295" s="5" t="n">
        <f aca="false">B295-E295</f>
        <v>106011.476255791</v>
      </c>
    </row>
    <row r="296" customFormat="false" ht="15" hidden="false" customHeight="false" outlineLevel="0" collapsed="false">
      <c r="A296" s="0" t="n">
        <v>291</v>
      </c>
      <c r="B296" s="5" t="n">
        <f aca="false">F295</f>
        <v>106011.476255791</v>
      </c>
      <c r="C296" s="5" t="n">
        <f aca="false">-PMT($B$2/12,$B$3*12,$B$1)</f>
        <v>1798.65157545826</v>
      </c>
      <c r="D296" s="5" t="n">
        <f aca="false">-IPMT($B$2/12,291,$B$3*12,$B$1)</f>
        <v>530.057381278976</v>
      </c>
      <c r="E296" s="5" t="n">
        <f aca="false">-PPMT($B$2/12,291,$B$3*12,$B$1)</f>
        <v>1268.59419417928</v>
      </c>
      <c r="F296" s="5" t="n">
        <f aca="false">B296-E296</f>
        <v>104742.882061612</v>
      </c>
    </row>
    <row r="297" customFormat="false" ht="15" hidden="false" customHeight="false" outlineLevel="0" collapsed="false">
      <c r="A297" s="0" t="n">
        <v>292</v>
      </c>
      <c r="B297" s="5" t="n">
        <f aca="false">F296</f>
        <v>104742.882061612</v>
      </c>
      <c r="C297" s="5" t="n">
        <f aca="false">-PMT($B$2/12,$B$3*12,$B$1)</f>
        <v>1798.65157545826</v>
      </c>
      <c r="D297" s="5" t="n">
        <f aca="false">-IPMT($B$2/12,292,$B$3*12,$B$1)</f>
        <v>523.714410308079</v>
      </c>
      <c r="E297" s="5" t="n">
        <f aca="false">-PPMT($B$2/12,292,$B$3*12,$B$1)</f>
        <v>1274.93716515018</v>
      </c>
      <c r="F297" s="5" t="n">
        <f aca="false">B297-E297</f>
        <v>103467.944896461</v>
      </c>
    </row>
    <row r="298" customFormat="false" ht="15" hidden="false" customHeight="false" outlineLevel="0" collapsed="false">
      <c r="A298" s="0" t="n">
        <v>293</v>
      </c>
      <c r="B298" s="5" t="n">
        <f aca="false">F297</f>
        <v>103467.944896461</v>
      </c>
      <c r="C298" s="5" t="n">
        <f aca="false">-PMT($B$2/12,$B$3*12,$B$1)</f>
        <v>1798.65157545826</v>
      </c>
      <c r="D298" s="5" t="n">
        <f aca="false">-IPMT($B$2/12,293,$B$3*12,$B$1)</f>
        <v>517.339724482328</v>
      </c>
      <c r="E298" s="5" t="n">
        <f aca="false">-PPMT($B$2/12,293,$B$3*12,$B$1)</f>
        <v>1281.31185097593</v>
      </c>
      <c r="F298" s="5" t="n">
        <f aca="false">B298-E298</f>
        <v>102186.633045485</v>
      </c>
    </row>
    <row r="299" customFormat="false" ht="15" hidden="false" customHeight="false" outlineLevel="0" collapsed="false">
      <c r="A299" s="0" t="n">
        <v>294</v>
      </c>
      <c r="B299" s="5" t="n">
        <f aca="false">F298</f>
        <v>102186.633045485</v>
      </c>
      <c r="C299" s="5" t="n">
        <f aca="false">-PMT($B$2/12,$B$3*12,$B$1)</f>
        <v>1798.65157545826</v>
      </c>
      <c r="D299" s="5" t="n">
        <f aca="false">-IPMT($B$2/12,294,$B$3*12,$B$1)</f>
        <v>510.933165227449</v>
      </c>
      <c r="E299" s="5" t="n">
        <f aca="false">-PPMT($B$2/12,294,$B$3*12,$B$1)</f>
        <v>1287.71841023081</v>
      </c>
      <c r="F299" s="5" t="n">
        <f aca="false">B299-E299</f>
        <v>100898.914635255</v>
      </c>
    </row>
    <row r="300" customFormat="false" ht="15" hidden="false" customHeight="false" outlineLevel="0" collapsed="false">
      <c r="A300" s="0" t="n">
        <v>295</v>
      </c>
      <c r="B300" s="5" t="n">
        <f aca="false">F299</f>
        <v>100898.914635255</v>
      </c>
      <c r="C300" s="5" t="n">
        <f aca="false">-PMT($B$2/12,$B$3*12,$B$1)</f>
        <v>1798.65157545826</v>
      </c>
      <c r="D300" s="5" t="n">
        <f aca="false">-IPMT($B$2/12,295,$B$3*12,$B$1)</f>
        <v>504.494573176295</v>
      </c>
      <c r="E300" s="5" t="n">
        <f aca="false">-PPMT($B$2/12,295,$B$3*12,$B$1)</f>
        <v>1294.15700228196</v>
      </c>
      <c r="F300" s="5" t="n">
        <f aca="false">B300-E300</f>
        <v>99604.7576329726</v>
      </c>
    </row>
    <row r="301" customFormat="false" ht="15" hidden="false" customHeight="false" outlineLevel="0" collapsed="false">
      <c r="A301" s="0" t="n">
        <v>296</v>
      </c>
      <c r="B301" s="5" t="n">
        <f aca="false">F300</f>
        <v>99604.7576329726</v>
      </c>
      <c r="C301" s="5" t="n">
        <f aca="false">-PMT($B$2/12,$B$3*12,$B$1)</f>
        <v>1798.65157545826</v>
      </c>
      <c r="D301" s="5" t="n">
        <f aca="false">-IPMT($B$2/12,296,$B$3*12,$B$1)</f>
        <v>498.023788164885</v>
      </c>
      <c r="E301" s="5" t="n">
        <f aca="false">-PPMT($B$2/12,296,$B$3*12,$B$1)</f>
        <v>1300.62778729337</v>
      </c>
      <c r="F301" s="5" t="n">
        <f aca="false">B301-E301</f>
        <v>98304.1298456793</v>
      </c>
    </row>
    <row r="302" customFormat="false" ht="15" hidden="false" customHeight="false" outlineLevel="0" collapsed="false">
      <c r="A302" s="0" t="n">
        <v>297</v>
      </c>
      <c r="B302" s="5" t="n">
        <f aca="false">F301</f>
        <v>98304.1298456793</v>
      </c>
      <c r="C302" s="5" t="n">
        <f aca="false">-PMT($B$2/12,$B$3*12,$B$1)</f>
        <v>1798.65157545826</v>
      </c>
      <c r="D302" s="5" t="n">
        <f aca="false">-IPMT($B$2/12,297,$B$3*12,$B$1)</f>
        <v>491.520649228419</v>
      </c>
      <c r="E302" s="5" t="n">
        <f aca="false">-PPMT($B$2/12,297,$B$3*12,$B$1)</f>
        <v>1307.13092622984</v>
      </c>
      <c r="F302" s="5" t="n">
        <f aca="false">B302-E302</f>
        <v>96996.9989194494</v>
      </c>
    </row>
    <row r="303" customFormat="false" ht="15" hidden="false" customHeight="false" outlineLevel="0" collapsed="false">
      <c r="A303" s="0" t="n">
        <v>298</v>
      </c>
      <c r="B303" s="5" t="n">
        <f aca="false">F302</f>
        <v>96996.9989194494</v>
      </c>
      <c r="C303" s="5" t="n">
        <f aca="false">-PMT($B$2/12,$B$3*12,$B$1)</f>
        <v>1798.65157545826</v>
      </c>
      <c r="D303" s="5" t="n">
        <f aca="false">-IPMT($B$2/12,298,$B$3*12,$B$1)</f>
        <v>484.984994597269</v>
      </c>
      <c r="E303" s="5" t="n">
        <f aca="false">-PPMT($B$2/12,298,$B$3*12,$B$1)</f>
        <v>1313.66658086099</v>
      </c>
      <c r="F303" s="5" t="n">
        <f aca="false">B303-E303</f>
        <v>95683.3323385884</v>
      </c>
    </row>
    <row r="304" customFormat="false" ht="15" hidden="false" customHeight="false" outlineLevel="0" collapsed="false">
      <c r="A304" s="0" t="n">
        <v>299</v>
      </c>
      <c r="B304" s="5" t="n">
        <f aca="false">F303</f>
        <v>95683.3323385884</v>
      </c>
      <c r="C304" s="5" t="n">
        <f aca="false">-PMT($B$2/12,$B$3*12,$B$1)</f>
        <v>1798.65157545826</v>
      </c>
      <c r="D304" s="5" t="n">
        <f aca="false">-IPMT($B$2/12,299,$B$3*12,$B$1)</f>
        <v>478.416661692965</v>
      </c>
      <c r="E304" s="5" t="n">
        <f aca="false">-PPMT($B$2/12,299,$B$3*12,$B$1)</f>
        <v>1320.23491376529</v>
      </c>
      <c r="F304" s="5" t="n">
        <f aca="false">B304-E304</f>
        <v>94363.0974248232</v>
      </c>
    </row>
    <row r="305" customFormat="false" ht="15" hidden="false" customHeight="false" outlineLevel="0" collapsed="false">
      <c r="A305" s="0" t="n">
        <v>300</v>
      </c>
      <c r="B305" s="5" t="n">
        <f aca="false">F304</f>
        <v>94363.0974248232</v>
      </c>
      <c r="C305" s="5" t="n">
        <f aca="false">-PMT($B$2/12,$B$3*12,$B$1)</f>
        <v>1798.65157545826</v>
      </c>
      <c r="D305" s="5" t="n">
        <f aca="false">-IPMT($B$2/12,300,$B$3*12,$B$1)</f>
        <v>471.815487124139</v>
      </c>
      <c r="E305" s="5" t="n">
        <f aca="false">-PPMT($B$2/12,300,$B$3*12,$B$1)</f>
        <v>1326.83608833412</v>
      </c>
      <c r="F305" s="5" t="n">
        <f aca="false">B305-E305</f>
        <v>93036.261336489</v>
      </c>
    </row>
    <row r="306" customFormat="false" ht="15" hidden="false" customHeight="false" outlineLevel="0" collapsed="false">
      <c r="A306" s="0" t="n">
        <v>301</v>
      </c>
      <c r="B306" s="5" t="n">
        <f aca="false">F305</f>
        <v>93036.261336489</v>
      </c>
      <c r="C306" s="5" t="n">
        <f aca="false">-PMT($B$2/12,$B$3*12,$B$1)</f>
        <v>1798.65157545826</v>
      </c>
      <c r="D306" s="5" t="n">
        <f aca="false">-IPMT($B$2/12,301,$B$3*12,$B$1)</f>
        <v>465.181306682468</v>
      </c>
      <c r="E306" s="5" t="n">
        <f aca="false">-PPMT($B$2/12,301,$B$3*12,$B$1)</f>
        <v>1333.47026877579</v>
      </c>
      <c r="F306" s="5" t="n">
        <f aca="false">B306-E306</f>
        <v>91702.7910677132</v>
      </c>
    </row>
    <row r="307" customFormat="false" ht="15" hidden="false" customHeight="false" outlineLevel="0" collapsed="false">
      <c r="A307" s="0" t="n">
        <v>302</v>
      </c>
      <c r="B307" s="5" t="n">
        <f aca="false">F306</f>
        <v>91702.7910677132</v>
      </c>
      <c r="C307" s="5" t="n">
        <f aca="false">-PMT($B$2/12,$B$3*12,$B$1)</f>
        <v>1798.65157545826</v>
      </c>
      <c r="D307" s="5" t="n">
        <f aca="false">-IPMT($B$2/12,302,$B$3*12,$B$1)</f>
        <v>458.51395533859</v>
      </c>
      <c r="E307" s="5" t="n">
        <f aca="false">-PPMT($B$2/12,302,$B$3*12,$B$1)</f>
        <v>1340.13762011967</v>
      </c>
      <c r="F307" s="5" t="n">
        <f aca="false">B307-E307</f>
        <v>90362.6534475936</v>
      </c>
    </row>
    <row r="308" customFormat="false" ht="15" hidden="false" customHeight="false" outlineLevel="0" collapsed="false">
      <c r="A308" s="0" t="n">
        <v>303</v>
      </c>
      <c r="B308" s="5" t="n">
        <f aca="false">F307</f>
        <v>90362.6534475936</v>
      </c>
      <c r="C308" s="5" t="n">
        <f aca="false">-PMT($B$2/12,$B$3*12,$B$1)</f>
        <v>1798.65157545826</v>
      </c>
      <c r="D308" s="5" t="n">
        <f aca="false">-IPMT($B$2/12,303,$B$3*12,$B$1)</f>
        <v>451.813267237991</v>
      </c>
      <c r="E308" s="5" t="n">
        <f aca="false">-PPMT($B$2/12,303,$B$3*12,$B$1)</f>
        <v>1346.83830822027</v>
      </c>
      <c r="F308" s="5" t="n">
        <f aca="false">B308-E308</f>
        <v>89015.8151393733</v>
      </c>
    </row>
    <row r="309" customFormat="false" ht="15" hidden="false" customHeight="false" outlineLevel="0" collapsed="false">
      <c r="A309" s="0" t="n">
        <v>304</v>
      </c>
      <c r="B309" s="5" t="n">
        <f aca="false">F308</f>
        <v>89015.8151393733</v>
      </c>
      <c r="C309" s="5" t="n">
        <f aca="false">-PMT($B$2/12,$B$3*12,$B$1)</f>
        <v>1798.65157545826</v>
      </c>
      <c r="D309" s="5" t="n">
        <f aca="false">-IPMT($B$2/12,304,$B$3*12,$B$1)</f>
        <v>445.079075696891</v>
      </c>
      <c r="E309" s="5" t="n">
        <f aca="false">-PPMT($B$2/12,304,$B$3*12,$B$1)</f>
        <v>1353.57249976137</v>
      </c>
      <c r="F309" s="5" t="n">
        <f aca="false">B309-E309</f>
        <v>87662.2426396119</v>
      </c>
    </row>
    <row r="310" customFormat="false" ht="15" hidden="false" customHeight="false" outlineLevel="0" collapsed="false">
      <c r="A310" s="0" t="n">
        <v>305</v>
      </c>
      <c r="B310" s="5" t="n">
        <f aca="false">F309</f>
        <v>87662.2426396119</v>
      </c>
      <c r="C310" s="5" t="n">
        <f aca="false">-PMT($B$2/12,$B$3*12,$B$1)</f>
        <v>1798.65157545826</v>
      </c>
      <c r="D310" s="5" t="n">
        <f aca="false">-IPMT($B$2/12,305,$B$3*12,$B$1)</f>
        <v>438.311213198084</v>
      </c>
      <c r="E310" s="5" t="n">
        <f aca="false">-PPMT($B$2/12,305,$B$3*12,$B$1)</f>
        <v>1360.34036226017</v>
      </c>
      <c r="F310" s="5" t="n">
        <f aca="false">B310-E310</f>
        <v>86301.9022773518</v>
      </c>
    </row>
    <row r="311" customFormat="false" ht="15" hidden="false" customHeight="false" outlineLevel="0" collapsed="false">
      <c r="A311" s="0" t="n">
        <v>306</v>
      </c>
      <c r="B311" s="5" t="n">
        <f aca="false">F310</f>
        <v>86301.9022773518</v>
      </c>
      <c r="C311" s="5" t="n">
        <f aca="false">-PMT($B$2/12,$B$3*12,$B$1)</f>
        <v>1798.65157545826</v>
      </c>
      <c r="D311" s="5" t="n">
        <f aca="false">-IPMT($B$2/12,306,$B$3*12,$B$1)</f>
        <v>431.509511386782</v>
      </c>
      <c r="E311" s="5" t="n">
        <f aca="false">-PPMT($B$2/12,306,$B$3*12,$B$1)</f>
        <v>1367.14206407148</v>
      </c>
      <c r="F311" s="5" t="n">
        <f aca="false">B311-E311</f>
        <v>84934.7602132803</v>
      </c>
    </row>
    <row r="312" customFormat="false" ht="15" hidden="false" customHeight="false" outlineLevel="0" collapsed="false">
      <c r="A312" s="0" t="n">
        <v>307</v>
      </c>
      <c r="B312" s="5" t="n">
        <f aca="false">F311</f>
        <v>84934.7602132803</v>
      </c>
      <c r="C312" s="5" t="n">
        <f aca="false">-PMT($B$2/12,$B$3*12,$B$1)</f>
        <v>1798.65157545826</v>
      </c>
      <c r="D312" s="5" t="n">
        <f aca="false">-IPMT($B$2/12,307,$B$3*12,$B$1)</f>
        <v>424.673801066425</v>
      </c>
      <c r="E312" s="5" t="n">
        <f aca="false">-PPMT($B$2/12,307,$B$3*12,$B$1)</f>
        <v>1373.97777439183</v>
      </c>
      <c r="F312" s="5" t="n">
        <f aca="false">B312-E312</f>
        <v>83560.7824388884</v>
      </c>
    </row>
    <row r="313" customFormat="false" ht="15" hidden="false" customHeight="false" outlineLevel="0" collapsed="false">
      <c r="A313" s="0" t="n">
        <v>308</v>
      </c>
      <c r="B313" s="5" t="n">
        <f aca="false">F312</f>
        <v>83560.7824388884</v>
      </c>
      <c r="C313" s="5" t="n">
        <f aca="false">-PMT($B$2/12,$B$3*12,$B$1)</f>
        <v>1798.65157545826</v>
      </c>
      <c r="D313" s="5" t="n">
        <f aca="false">-IPMT($B$2/12,308,$B$3*12,$B$1)</f>
        <v>417.803912194466</v>
      </c>
      <c r="E313" s="5" t="n">
        <f aca="false">-PPMT($B$2/12,308,$B$3*12,$B$1)</f>
        <v>1380.84766326379</v>
      </c>
      <c r="F313" s="5" t="n">
        <f aca="false">B313-E313</f>
        <v>82179.9347756246</v>
      </c>
    </row>
    <row r="314" customFormat="false" ht="15" hidden="false" customHeight="false" outlineLevel="0" collapsed="false">
      <c r="A314" s="0" t="n">
        <v>309</v>
      </c>
      <c r="B314" s="5" t="n">
        <f aca="false">F313</f>
        <v>82179.9347756246</v>
      </c>
      <c r="C314" s="5" t="n">
        <f aca="false">-PMT($B$2/12,$B$3*12,$B$1)</f>
        <v>1798.65157545826</v>
      </c>
      <c r="D314" s="5" t="n">
        <f aca="false">-IPMT($B$2/12,309,$B$3*12,$B$1)</f>
        <v>410.899673878147</v>
      </c>
      <c r="E314" s="5" t="n">
        <f aca="false">-PPMT($B$2/12,309,$B$3*12,$B$1)</f>
        <v>1387.75190158011</v>
      </c>
      <c r="F314" s="5" t="n">
        <f aca="false">B314-E314</f>
        <v>80792.1828740445</v>
      </c>
    </row>
    <row r="315" customFormat="false" ht="15" hidden="false" customHeight="false" outlineLevel="0" collapsed="false">
      <c r="A315" s="0" t="n">
        <v>310</v>
      </c>
      <c r="B315" s="5" t="n">
        <f aca="false">F314</f>
        <v>80792.1828740445</v>
      </c>
      <c r="C315" s="5" t="n">
        <f aca="false">-PMT($B$2/12,$B$3*12,$B$1)</f>
        <v>1798.65157545826</v>
      </c>
      <c r="D315" s="5" t="n">
        <f aca="false">-IPMT($B$2/12,310,$B$3*12,$B$1)</f>
        <v>403.960914370247</v>
      </c>
      <c r="E315" s="5" t="n">
        <f aca="false">-PPMT($B$2/12,310,$B$3*12,$B$1)</f>
        <v>1394.69066108801</v>
      </c>
      <c r="F315" s="5" t="n">
        <f aca="false">B315-E315</f>
        <v>79397.4922129565</v>
      </c>
    </row>
    <row r="316" customFormat="false" ht="15" hidden="false" customHeight="false" outlineLevel="0" collapsed="false">
      <c r="A316" s="0" t="n">
        <v>311</v>
      </c>
      <c r="B316" s="5" t="n">
        <f aca="false">F315</f>
        <v>79397.4922129565</v>
      </c>
      <c r="C316" s="5" t="n">
        <f aca="false">-PMT($B$2/12,$B$3*12,$B$1)</f>
        <v>1798.65157545826</v>
      </c>
      <c r="D316" s="5" t="n">
        <f aca="false">-IPMT($B$2/12,311,$B$3*12,$B$1)</f>
        <v>396.987461064807</v>
      </c>
      <c r="E316" s="5" t="n">
        <f aca="false">-PPMT($B$2/12,311,$B$3*12,$B$1)</f>
        <v>1401.66411439345</v>
      </c>
      <c r="F316" s="5" t="n">
        <f aca="false">B316-E316</f>
        <v>77995.8280985631</v>
      </c>
    </row>
    <row r="317" customFormat="false" ht="15" hidden="false" customHeight="false" outlineLevel="0" collapsed="false">
      <c r="A317" s="0" t="n">
        <v>312</v>
      </c>
      <c r="B317" s="5" t="n">
        <f aca="false">F316</f>
        <v>77995.8280985631</v>
      </c>
      <c r="C317" s="5" t="n">
        <f aca="false">-PMT($B$2/12,$B$3*12,$B$1)</f>
        <v>1798.65157545826</v>
      </c>
      <c r="D317" s="5" t="n">
        <f aca="false">-IPMT($B$2/12,312,$B$3*12,$B$1)</f>
        <v>389.97914049284</v>
      </c>
      <c r="E317" s="5" t="n">
        <f aca="false">-PPMT($B$2/12,312,$B$3*12,$B$1)</f>
        <v>1408.67243496542</v>
      </c>
      <c r="F317" s="5" t="n">
        <f aca="false">B317-E317</f>
        <v>76587.1556635977</v>
      </c>
    </row>
    <row r="318" customFormat="false" ht="15" hidden="false" customHeight="false" outlineLevel="0" collapsed="false">
      <c r="A318" s="0" t="n">
        <v>313</v>
      </c>
      <c r="B318" s="5" t="n">
        <f aca="false">F317</f>
        <v>76587.1556635977</v>
      </c>
      <c r="C318" s="5" t="n">
        <f aca="false">-PMT($B$2/12,$B$3*12,$B$1)</f>
        <v>1798.65157545826</v>
      </c>
      <c r="D318" s="5" t="n">
        <f aca="false">-IPMT($B$2/12,313,$B$3*12,$B$1)</f>
        <v>382.935778318013</v>
      </c>
      <c r="E318" s="5" t="n">
        <f aca="false">-PPMT($B$2/12,313,$B$3*12,$B$1)</f>
        <v>1415.71579714024</v>
      </c>
      <c r="F318" s="5" t="n">
        <f aca="false">B318-E318</f>
        <v>75171.4398664574</v>
      </c>
    </row>
    <row r="319" customFormat="false" ht="15" hidden="false" customHeight="false" outlineLevel="0" collapsed="false">
      <c r="A319" s="0" t="n">
        <v>314</v>
      </c>
      <c r="B319" s="5" t="n">
        <f aca="false">F318</f>
        <v>75171.4398664574</v>
      </c>
      <c r="C319" s="5" t="n">
        <f aca="false">-PMT($B$2/12,$B$3*12,$B$1)</f>
        <v>1798.65157545826</v>
      </c>
      <c r="D319" s="5" t="n">
        <f aca="false">-IPMT($B$2/12,314,$B$3*12,$B$1)</f>
        <v>375.857199332312</v>
      </c>
      <c r="E319" s="5" t="n">
        <f aca="false">-PPMT($B$2/12,314,$B$3*12,$B$1)</f>
        <v>1422.79437612595</v>
      </c>
      <c r="F319" s="5" t="n">
        <f aca="false">B319-E319</f>
        <v>73748.6454903315</v>
      </c>
    </row>
    <row r="320" customFormat="false" ht="15" hidden="false" customHeight="false" outlineLevel="0" collapsed="false">
      <c r="A320" s="0" t="n">
        <v>315</v>
      </c>
      <c r="B320" s="5" t="n">
        <f aca="false">F319</f>
        <v>73748.6454903315</v>
      </c>
      <c r="C320" s="5" t="n">
        <f aca="false">-PMT($B$2/12,$B$3*12,$B$1)</f>
        <v>1798.65157545826</v>
      </c>
      <c r="D320" s="5" t="n">
        <f aca="false">-IPMT($B$2/12,315,$B$3*12,$B$1)</f>
        <v>368.743227451682</v>
      </c>
      <c r="E320" s="5" t="n">
        <f aca="false">-PPMT($B$2/12,315,$B$3*12,$B$1)</f>
        <v>1429.90834800658</v>
      </c>
      <c r="F320" s="5" t="n">
        <f aca="false">B320-E320</f>
        <v>72318.7371423249</v>
      </c>
    </row>
    <row r="321" customFormat="false" ht="15" hidden="false" customHeight="false" outlineLevel="0" collapsed="false">
      <c r="A321" s="0" t="n">
        <v>316</v>
      </c>
      <c r="B321" s="5" t="n">
        <f aca="false">F320</f>
        <v>72318.7371423249</v>
      </c>
      <c r="C321" s="5" t="n">
        <f aca="false">-PMT($B$2/12,$B$3*12,$B$1)</f>
        <v>1798.65157545826</v>
      </c>
      <c r="D321" s="5" t="n">
        <f aca="false">-IPMT($B$2/12,316,$B$3*12,$B$1)</f>
        <v>361.593685711648</v>
      </c>
      <c r="E321" s="5" t="n">
        <f aca="false">-PPMT($B$2/12,316,$B$3*12,$B$1)</f>
        <v>1437.05788974661</v>
      </c>
      <c r="F321" s="5" t="n">
        <f aca="false">B321-E321</f>
        <v>70881.6792525783</v>
      </c>
    </row>
    <row r="322" customFormat="false" ht="15" hidden="false" customHeight="false" outlineLevel="0" collapsed="false">
      <c r="A322" s="0" t="n">
        <v>317</v>
      </c>
      <c r="B322" s="5" t="n">
        <f aca="false">F321</f>
        <v>70881.6792525783</v>
      </c>
      <c r="C322" s="5" t="n">
        <f aca="false">-PMT($B$2/12,$B$3*12,$B$1)</f>
        <v>1798.65157545826</v>
      </c>
      <c r="D322" s="5" t="n">
        <f aca="false">-IPMT($B$2/12,317,$B$3*12,$B$1)</f>
        <v>354.408396262917</v>
      </c>
      <c r="E322" s="5" t="n">
        <f aca="false">-PPMT($B$2/12,317,$B$3*12,$B$1)</f>
        <v>1444.24317919534</v>
      </c>
      <c r="F322" s="5" t="n">
        <f aca="false">B322-E322</f>
        <v>69437.4360733829</v>
      </c>
    </row>
    <row r="323" customFormat="false" ht="15" hidden="false" customHeight="false" outlineLevel="0" collapsed="false">
      <c r="A323" s="0" t="n">
        <v>318</v>
      </c>
      <c r="B323" s="5" t="n">
        <f aca="false">F322</f>
        <v>69437.4360733829</v>
      </c>
      <c r="C323" s="5" t="n">
        <f aca="false">-PMT($B$2/12,$B$3*12,$B$1)</f>
        <v>1798.65157545826</v>
      </c>
      <c r="D323" s="5" t="n">
        <f aca="false">-IPMT($B$2/12,318,$B$3*12,$B$1)</f>
        <v>347.18718036694</v>
      </c>
      <c r="E323" s="5" t="n">
        <f aca="false">-PPMT($B$2/12,318,$B$3*12,$B$1)</f>
        <v>1451.46439509132</v>
      </c>
      <c r="F323" s="5" t="n">
        <f aca="false">B323-E323</f>
        <v>67985.9716782916</v>
      </c>
    </row>
    <row r="324" customFormat="false" ht="15" hidden="false" customHeight="false" outlineLevel="0" collapsed="false">
      <c r="A324" s="0" t="n">
        <v>319</v>
      </c>
      <c r="B324" s="5" t="n">
        <f aca="false">F323</f>
        <v>67985.9716782916</v>
      </c>
      <c r="C324" s="5" t="n">
        <f aca="false">-PMT($B$2/12,$B$3*12,$B$1)</f>
        <v>1798.65157545826</v>
      </c>
      <c r="D324" s="5" t="n">
        <f aca="false">-IPMT($B$2/12,319,$B$3*12,$B$1)</f>
        <v>339.929858391484</v>
      </c>
      <c r="E324" s="5" t="n">
        <f aca="false">-PPMT($B$2/12,319,$B$3*12,$B$1)</f>
        <v>1458.72171706677</v>
      </c>
      <c r="F324" s="5" t="n">
        <f aca="false">B324-E324</f>
        <v>66527.2499612249</v>
      </c>
    </row>
    <row r="325" customFormat="false" ht="15" hidden="false" customHeight="false" outlineLevel="0" collapsed="false">
      <c r="A325" s="0" t="n">
        <v>320</v>
      </c>
      <c r="B325" s="5" t="n">
        <f aca="false">F324</f>
        <v>66527.2499612249</v>
      </c>
      <c r="C325" s="5" t="n">
        <f aca="false">-PMT($B$2/12,$B$3*12,$B$1)</f>
        <v>1798.65157545826</v>
      </c>
      <c r="D325" s="5" t="n">
        <f aca="false">-IPMT($B$2/12,320,$B$3*12,$B$1)</f>
        <v>332.63624980615</v>
      </c>
      <c r="E325" s="5" t="n">
        <f aca="false">-PPMT($B$2/12,320,$B$3*12,$B$1)</f>
        <v>1466.01532565211</v>
      </c>
      <c r="F325" s="5" t="n">
        <f aca="false">B325-E325</f>
        <v>65061.2346355727</v>
      </c>
    </row>
    <row r="326" customFormat="false" ht="15" hidden="false" customHeight="false" outlineLevel="0" collapsed="false">
      <c r="A326" s="0" t="n">
        <v>321</v>
      </c>
      <c r="B326" s="5" t="n">
        <f aca="false">F325</f>
        <v>65061.2346355727</v>
      </c>
      <c r="C326" s="5" t="n">
        <f aca="false">-PMT($B$2/12,$B$3*12,$B$1)</f>
        <v>1798.65157545826</v>
      </c>
      <c r="D326" s="5" t="n">
        <f aca="false">-IPMT($B$2/12,321,$B$3*12,$B$1)</f>
        <v>325.306173177889</v>
      </c>
      <c r="E326" s="5" t="n">
        <f aca="false">-PPMT($B$2/12,321,$B$3*12,$B$1)</f>
        <v>1473.34540228037</v>
      </c>
      <c r="F326" s="5" t="n">
        <f aca="false">B326-E326</f>
        <v>63587.8892332924</v>
      </c>
    </row>
    <row r="327" customFormat="false" ht="15" hidden="false" customHeight="false" outlineLevel="0" collapsed="false">
      <c r="A327" s="0" t="n">
        <v>322</v>
      </c>
      <c r="B327" s="5" t="n">
        <f aca="false">F326</f>
        <v>63587.8892332924</v>
      </c>
      <c r="C327" s="5" t="n">
        <f aca="false">-PMT($B$2/12,$B$3*12,$B$1)</f>
        <v>1798.65157545826</v>
      </c>
      <c r="D327" s="5" t="n">
        <f aca="false">-IPMT($B$2/12,322,$B$3*12,$B$1)</f>
        <v>317.939446166488</v>
      </c>
      <c r="E327" s="5" t="n">
        <f aca="false">-PPMT($B$2/12,322,$B$3*12,$B$1)</f>
        <v>1480.71212929177</v>
      </c>
      <c r="F327" s="5" t="n">
        <f aca="false">B327-E327</f>
        <v>62107.1771040006</v>
      </c>
    </row>
    <row r="328" customFormat="false" ht="15" hidden="false" customHeight="false" outlineLevel="0" collapsed="false">
      <c r="A328" s="0" t="n">
        <v>323</v>
      </c>
      <c r="B328" s="5" t="n">
        <f aca="false">F327</f>
        <v>62107.1771040006</v>
      </c>
      <c r="C328" s="5" t="n">
        <f aca="false">-PMT($B$2/12,$B$3*12,$B$1)</f>
        <v>1798.65157545826</v>
      </c>
      <c r="D328" s="5" t="n">
        <f aca="false">-IPMT($B$2/12,323,$B$3*12,$B$1)</f>
        <v>310.535885520029</v>
      </c>
      <c r="E328" s="5" t="n">
        <f aca="false">-PPMT($B$2/12,323,$B$3*12,$B$1)</f>
        <v>1488.11568993823</v>
      </c>
      <c r="F328" s="5" t="n">
        <f aca="false">B328-E328</f>
        <v>60619.0614140624</v>
      </c>
    </row>
    <row r="329" customFormat="false" ht="15" hidden="false" customHeight="false" outlineLevel="0" collapsed="false">
      <c r="A329" s="0" t="n">
        <v>324</v>
      </c>
      <c r="B329" s="5" t="n">
        <f aca="false">F328</f>
        <v>60619.0614140624</v>
      </c>
      <c r="C329" s="5" t="n">
        <f aca="false">-PMT($B$2/12,$B$3*12,$B$1)</f>
        <v>1798.65157545826</v>
      </c>
      <c r="D329" s="5" t="n">
        <f aca="false">-IPMT($B$2/12,324,$B$3*12,$B$1)</f>
        <v>303.095307070338</v>
      </c>
      <c r="E329" s="5" t="n">
        <f aca="false">-PPMT($B$2/12,324,$B$3*12,$B$1)</f>
        <v>1495.55626838792</v>
      </c>
      <c r="F329" s="5" t="n">
        <f aca="false">B329-E329</f>
        <v>59123.5051456745</v>
      </c>
    </row>
    <row r="330" customFormat="false" ht="15" hidden="false" customHeight="false" outlineLevel="0" collapsed="false">
      <c r="A330" s="0" t="n">
        <v>325</v>
      </c>
      <c r="B330" s="5" t="n">
        <f aca="false">F329</f>
        <v>59123.5051456745</v>
      </c>
      <c r="C330" s="5" t="n">
        <f aca="false">-PMT($B$2/12,$B$3*12,$B$1)</f>
        <v>1798.65157545826</v>
      </c>
      <c r="D330" s="5" t="n">
        <f aca="false">-IPMT($B$2/12,325,$B$3*12,$B$1)</f>
        <v>295.617525728398</v>
      </c>
      <c r="E330" s="5" t="n">
        <f aca="false">-PPMT($B$2/12,325,$B$3*12,$B$1)</f>
        <v>1503.03404972986</v>
      </c>
      <c r="F330" s="5" t="n">
        <f aca="false">B330-E330</f>
        <v>57620.4710959446</v>
      </c>
    </row>
    <row r="331" customFormat="false" ht="15" hidden="false" customHeight="false" outlineLevel="0" collapsed="false">
      <c r="A331" s="0" t="n">
        <v>326</v>
      </c>
      <c r="B331" s="5" t="n">
        <f aca="false">F330</f>
        <v>57620.4710959446</v>
      </c>
      <c r="C331" s="5" t="n">
        <f aca="false">-PMT($B$2/12,$B$3*12,$B$1)</f>
        <v>1798.65157545826</v>
      </c>
      <c r="D331" s="5" t="n">
        <f aca="false">-IPMT($B$2/12,326,$B$3*12,$B$1)</f>
        <v>288.10235547975</v>
      </c>
      <c r="E331" s="5" t="n">
        <f aca="false">-PPMT($B$2/12,326,$B$3*12,$B$1)</f>
        <v>1510.54921997851</v>
      </c>
      <c r="F331" s="5" t="n">
        <f aca="false">B331-E331</f>
        <v>56109.9218759661</v>
      </c>
    </row>
    <row r="332" customFormat="false" ht="15" hidden="false" customHeight="false" outlineLevel="0" collapsed="false">
      <c r="A332" s="0" t="n">
        <v>327</v>
      </c>
      <c r="B332" s="5" t="n">
        <f aca="false">F331</f>
        <v>56109.9218759661</v>
      </c>
      <c r="C332" s="5" t="n">
        <f aca="false">-PMT($B$2/12,$B$3*12,$B$1)</f>
        <v>1798.65157545826</v>
      </c>
      <c r="D332" s="5" t="n">
        <f aca="false">-IPMT($B$2/12,327,$B$3*12,$B$1)</f>
        <v>280.549609379858</v>
      </c>
      <c r="E332" s="5" t="n">
        <f aca="false">-PPMT($B$2/12,327,$B$3*12,$B$1)</f>
        <v>1518.1019660784</v>
      </c>
      <c r="F332" s="5" t="n">
        <f aca="false">B332-E332</f>
        <v>54591.8199098877</v>
      </c>
    </row>
    <row r="333" customFormat="false" ht="15" hidden="false" customHeight="false" outlineLevel="0" collapsed="false">
      <c r="A333" s="0" t="n">
        <v>328</v>
      </c>
      <c r="B333" s="5" t="n">
        <f aca="false">F332</f>
        <v>54591.8199098877</v>
      </c>
      <c r="C333" s="5" t="n">
        <f aca="false">-PMT($B$2/12,$B$3*12,$B$1)</f>
        <v>1798.65157545826</v>
      </c>
      <c r="D333" s="5" t="n">
        <f aca="false">-IPMT($B$2/12,328,$B$3*12,$B$1)</f>
        <v>272.959099549465</v>
      </c>
      <c r="E333" s="5" t="n">
        <f aca="false">-PPMT($B$2/12,328,$B$3*12,$B$1)</f>
        <v>1525.69247590879</v>
      </c>
      <c r="F333" s="5" t="n">
        <f aca="false">B333-E333</f>
        <v>53066.1274339789</v>
      </c>
    </row>
    <row r="334" customFormat="false" ht="15" hidden="false" customHeight="false" outlineLevel="0" collapsed="false">
      <c r="A334" s="0" t="n">
        <v>329</v>
      </c>
      <c r="B334" s="5" t="n">
        <f aca="false">F333</f>
        <v>53066.1274339789</v>
      </c>
      <c r="C334" s="5" t="n">
        <f aca="false">-PMT($B$2/12,$B$3*12,$B$1)</f>
        <v>1798.65157545826</v>
      </c>
      <c r="D334" s="5" t="n">
        <f aca="false">-IPMT($B$2/12,329,$B$3*12,$B$1)</f>
        <v>265.330637169921</v>
      </c>
      <c r="E334" s="5" t="n">
        <f aca="false">-PPMT($B$2/12,329,$B$3*12,$B$1)</f>
        <v>1533.32093828834</v>
      </c>
      <c r="F334" s="5" t="n">
        <f aca="false">B334-E334</f>
        <v>51532.8064956906</v>
      </c>
    </row>
    <row r="335" customFormat="false" ht="15" hidden="false" customHeight="false" outlineLevel="0" collapsed="false">
      <c r="A335" s="0" t="n">
        <v>330</v>
      </c>
      <c r="B335" s="5" t="n">
        <f aca="false">F334</f>
        <v>51532.8064956906</v>
      </c>
      <c r="C335" s="5" t="n">
        <f aca="false">-PMT($B$2/12,$B$3*12,$B$1)</f>
        <v>1798.65157545826</v>
      </c>
      <c r="D335" s="5" t="n">
        <f aca="false">-IPMT($B$2/12,330,$B$3*12,$B$1)</f>
        <v>257.66403247848</v>
      </c>
      <c r="E335" s="5" t="n">
        <f aca="false">-PPMT($B$2/12,330,$B$3*12,$B$1)</f>
        <v>1540.98754297978</v>
      </c>
      <c r="F335" s="5" t="n">
        <f aca="false">B335-E335</f>
        <v>49991.8189527108</v>
      </c>
    </row>
    <row r="336" customFormat="false" ht="15" hidden="false" customHeight="false" outlineLevel="0" collapsed="false">
      <c r="A336" s="0" t="n">
        <v>331</v>
      </c>
      <c r="B336" s="5" t="n">
        <f aca="false">F335</f>
        <v>49991.8189527108</v>
      </c>
      <c r="C336" s="5" t="n">
        <f aca="false">-PMT($B$2/12,$B$3*12,$B$1)</f>
        <v>1798.65157545826</v>
      </c>
      <c r="D336" s="5" t="n">
        <f aca="false">-IPMT($B$2/12,331,$B$3*12,$B$1)</f>
        <v>249.959094763581</v>
      </c>
      <c r="E336" s="5" t="n">
        <f aca="false">-PPMT($B$2/12,331,$B$3*12,$B$1)</f>
        <v>1548.69248069468</v>
      </c>
      <c r="F336" s="5" t="n">
        <f aca="false">B336-E336</f>
        <v>48443.1264720161</v>
      </c>
    </row>
    <row r="337" customFormat="false" ht="15" hidden="false" customHeight="false" outlineLevel="0" collapsed="false">
      <c r="A337" s="0" t="n">
        <v>332</v>
      </c>
      <c r="B337" s="5" t="n">
        <f aca="false">F336</f>
        <v>48443.1264720161</v>
      </c>
      <c r="C337" s="5" t="n">
        <f aca="false">-PMT($B$2/12,$B$3*12,$B$1)</f>
        <v>1798.65157545826</v>
      </c>
      <c r="D337" s="5" t="n">
        <f aca="false">-IPMT($B$2/12,332,$B$3*12,$B$1)</f>
        <v>242.215632360108</v>
      </c>
      <c r="E337" s="5" t="n">
        <f aca="false">-PPMT($B$2/12,332,$B$3*12,$B$1)</f>
        <v>1556.43594309815</v>
      </c>
      <c r="F337" s="5" t="n">
        <f aca="false">B337-E337</f>
        <v>46886.690528918</v>
      </c>
    </row>
    <row r="338" customFormat="false" ht="15" hidden="false" customHeight="false" outlineLevel="0" collapsed="false">
      <c r="A338" s="0" t="n">
        <v>333</v>
      </c>
      <c r="B338" s="5" t="n">
        <f aca="false">F337</f>
        <v>46886.690528918</v>
      </c>
      <c r="C338" s="5" t="n">
        <f aca="false">-PMT($B$2/12,$B$3*12,$B$1)</f>
        <v>1798.65157545826</v>
      </c>
      <c r="D338" s="5" t="n">
        <f aca="false">-IPMT($B$2/12,333,$B$3*12,$B$1)</f>
        <v>234.433452644617</v>
      </c>
      <c r="E338" s="5" t="n">
        <f aca="false">-PPMT($B$2/12,333,$B$3*12,$B$1)</f>
        <v>1564.21812281364</v>
      </c>
      <c r="F338" s="5" t="n">
        <f aca="false">B338-E338</f>
        <v>45322.4724061043</v>
      </c>
    </row>
    <row r="339" customFormat="false" ht="15" hidden="false" customHeight="false" outlineLevel="0" collapsed="false">
      <c r="A339" s="0" t="n">
        <v>334</v>
      </c>
      <c r="B339" s="5" t="n">
        <f aca="false">F338</f>
        <v>45322.4724061043</v>
      </c>
      <c r="C339" s="5" t="n">
        <f aca="false">-PMT($B$2/12,$B$3*12,$B$1)</f>
        <v>1798.65157545826</v>
      </c>
      <c r="D339" s="5" t="n">
        <f aca="false">-IPMT($B$2/12,334,$B$3*12,$B$1)</f>
        <v>226.612362030549</v>
      </c>
      <c r="E339" s="5" t="n">
        <f aca="false">-PPMT($B$2/12,334,$B$3*12,$B$1)</f>
        <v>1572.03921342771</v>
      </c>
      <c r="F339" s="5" t="n">
        <f aca="false">B339-E339</f>
        <v>43750.4331926766</v>
      </c>
    </row>
    <row r="340" customFormat="false" ht="15" hidden="false" customHeight="false" outlineLevel="0" collapsed="false">
      <c r="A340" s="0" t="n">
        <v>335</v>
      </c>
      <c r="B340" s="5" t="n">
        <f aca="false">F339</f>
        <v>43750.4331926766</v>
      </c>
      <c r="C340" s="5" t="n">
        <f aca="false">-PMT($B$2/12,$B$3*12,$B$1)</f>
        <v>1798.65157545826</v>
      </c>
      <c r="D340" s="5" t="n">
        <f aca="false">-IPMT($B$2/12,335,$B$3*12,$B$1)</f>
        <v>218.752165963411</v>
      </c>
      <c r="E340" s="5" t="n">
        <f aca="false">-PPMT($B$2/12,335,$B$3*12,$B$1)</f>
        <v>1579.89940949485</v>
      </c>
      <c r="F340" s="5" t="n">
        <f aca="false">B340-E340</f>
        <v>42170.5337831818</v>
      </c>
    </row>
    <row r="341" customFormat="false" ht="15" hidden="false" customHeight="false" outlineLevel="0" collapsed="false">
      <c r="A341" s="0" t="n">
        <v>336</v>
      </c>
      <c r="B341" s="5" t="n">
        <f aca="false">F340</f>
        <v>42170.5337831818</v>
      </c>
      <c r="C341" s="5" t="n">
        <f aca="false">-PMT($B$2/12,$B$3*12,$B$1)</f>
        <v>1798.65157545826</v>
      </c>
      <c r="D341" s="5" t="n">
        <f aca="false">-IPMT($B$2/12,336,$B$3*12,$B$1)</f>
        <v>210.852668915936</v>
      </c>
      <c r="E341" s="5" t="n">
        <f aca="false">-PPMT($B$2/12,336,$B$3*12,$B$1)</f>
        <v>1587.79890654232</v>
      </c>
      <c r="F341" s="5" t="n">
        <f aca="false">B341-E341</f>
        <v>40582.7348766394</v>
      </c>
    </row>
    <row r="342" customFormat="false" ht="15" hidden="false" customHeight="false" outlineLevel="0" collapsed="false">
      <c r="A342" s="0" t="n">
        <v>337</v>
      </c>
      <c r="B342" s="5" t="n">
        <f aca="false">F341</f>
        <v>40582.7348766394</v>
      </c>
      <c r="C342" s="5" t="n">
        <f aca="false">-PMT($B$2/12,$B$3*12,$B$1)</f>
        <v>1798.65157545826</v>
      </c>
      <c r="D342" s="5" t="n">
        <f aca="false">-IPMT($B$2/12,337,$B$3*12,$B$1)</f>
        <v>202.913674383225</v>
      </c>
      <c r="E342" s="5" t="n">
        <f aca="false">-PPMT($B$2/12,337,$B$3*12,$B$1)</f>
        <v>1595.73790107503</v>
      </c>
      <c r="F342" s="5" t="n">
        <f aca="false">B342-E342</f>
        <v>38986.9969755644</v>
      </c>
    </row>
    <row r="343" customFormat="false" ht="15" hidden="false" customHeight="false" outlineLevel="0" collapsed="false">
      <c r="A343" s="0" t="n">
        <v>338</v>
      </c>
      <c r="B343" s="5" t="n">
        <f aca="false">F342</f>
        <v>38986.9969755644</v>
      </c>
      <c r="C343" s="5" t="n">
        <f aca="false">-PMT($B$2/12,$B$3*12,$B$1)</f>
        <v>1798.65157545826</v>
      </c>
      <c r="D343" s="5" t="n">
        <f aca="false">-IPMT($B$2/12,338,$B$3*12,$B$1)</f>
        <v>194.934984877851</v>
      </c>
      <c r="E343" s="5" t="n">
        <f aca="false">-PPMT($B$2/12,338,$B$3*12,$B$1)</f>
        <v>1603.71659058041</v>
      </c>
      <c r="F343" s="5" t="n">
        <f aca="false">B343-E343</f>
        <v>37383.280384984</v>
      </c>
    </row>
    <row r="344" customFormat="false" ht="15" hidden="false" customHeight="false" outlineLevel="0" collapsed="false">
      <c r="A344" s="0" t="n">
        <v>339</v>
      </c>
      <c r="B344" s="5" t="n">
        <f aca="false">F343</f>
        <v>37383.280384984</v>
      </c>
      <c r="C344" s="5" t="n">
        <f aca="false">-PMT($B$2/12,$B$3*12,$B$1)</f>
        <v>1798.65157545826</v>
      </c>
      <c r="D344" s="5" t="n">
        <f aca="false">-IPMT($B$2/12,339,$B$3*12,$B$1)</f>
        <v>186.916401924949</v>
      </c>
      <c r="E344" s="5" t="n">
        <f aca="false">-PPMT($B$2/12,339,$B$3*12,$B$1)</f>
        <v>1611.73517353331</v>
      </c>
      <c r="F344" s="5" t="n">
        <f aca="false">B344-E344</f>
        <v>35771.5452114507</v>
      </c>
    </row>
    <row r="345" customFormat="false" ht="15" hidden="false" customHeight="false" outlineLevel="0" collapsed="false">
      <c r="A345" s="0" t="n">
        <v>340</v>
      </c>
      <c r="B345" s="5" t="n">
        <f aca="false">F344</f>
        <v>35771.5452114507</v>
      </c>
      <c r="C345" s="5" t="n">
        <f aca="false">-PMT($B$2/12,$B$3*12,$B$1)</f>
        <v>1798.65157545826</v>
      </c>
      <c r="D345" s="5" t="n">
        <f aca="false">-IPMT($B$2/12,340,$B$3*12,$B$1)</f>
        <v>178.857726057282</v>
      </c>
      <c r="E345" s="5" t="n">
        <f aca="false">-PPMT($B$2/12,340,$B$3*12,$B$1)</f>
        <v>1619.79384940098</v>
      </c>
      <c r="F345" s="5" t="n">
        <f aca="false">B345-E345</f>
        <v>34151.7513620497</v>
      </c>
    </row>
    <row r="346" customFormat="false" ht="15" hidden="false" customHeight="false" outlineLevel="0" collapsed="false">
      <c r="A346" s="0" t="n">
        <v>341</v>
      </c>
      <c r="B346" s="5" t="n">
        <f aca="false">F345</f>
        <v>34151.7513620497</v>
      </c>
      <c r="C346" s="5" t="n">
        <f aca="false">-PMT($B$2/12,$B$3*12,$B$1)</f>
        <v>1798.65157545826</v>
      </c>
      <c r="D346" s="5" t="n">
        <f aca="false">-IPMT($B$2/12,341,$B$3*12,$B$1)</f>
        <v>170.758756810278</v>
      </c>
      <c r="E346" s="5" t="n">
        <f aca="false">-PPMT($B$2/12,341,$B$3*12,$B$1)</f>
        <v>1627.89281864798</v>
      </c>
      <c r="F346" s="5" t="n">
        <f aca="false">B346-E346</f>
        <v>32523.8585434017</v>
      </c>
    </row>
    <row r="347" customFormat="false" ht="15" hidden="false" customHeight="false" outlineLevel="0" collapsed="false">
      <c r="A347" s="0" t="n">
        <v>342</v>
      </c>
      <c r="B347" s="5" t="n">
        <f aca="false">F346</f>
        <v>32523.8585434017</v>
      </c>
      <c r="C347" s="5" t="n">
        <f aca="false">-PMT($B$2/12,$B$3*12,$B$1)</f>
        <v>1798.65157545826</v>
      </c>
      <c r="D347" s="5" t="n">
        <f aca="false">-IPMT($B$2/12,342,$B$3*12,$B$1)</f>
        <v>162.619292717038</v>
      </c>
      <c r="E347" s="5" t="n">
        <f aca="false">-PPMT($B$2/12,342,$B$3*12,$B$1)</f>
        <v>1636.03228274122</v>
      </c>
      <c r="F347" s="5" t="n">
        <f aca="false">B347-E347</f>
        <v>30887.8262606605</v>
      </c>
    </row>
    <row r="348" customFormat="false" ht="15" hidden="false" customHeight="false" outlineLevel="0" collapsed="false">
      <c r="A348" s="0" t="n">
        <v>343</v>
      </c>
      <c r="B348" s="5" t="n">
        <f aca="false">F347</f>
        <v>30887.8262606605</v>
      </c>
      <c r="C348" s="5" t="n">
        <f aca="false">-PMT($B$2/12,$B$3*12,$B$1)</f>
        <v>1798.65157545826</v>
      </c>
      <c r="D348" s="5" t="n">
        <f aca="false">-IPMT($B$2/12,343,$B$3*12,$B$1)</f>
        <v>154.439131303332</v>
      </c>
      <c r="E348" s="5" t="n">
        <f aca="false">-PPMT($B$2/12,343,$B$3*12,$B$1)</f>
        <v>1644.21244415493</v>
      </c>
      <c r="F348" s="5" t="n">
        <f aca="false">B348-E348</f>
        <v>29243.6138165056</v>
      </c>
    </row>
    <row r="349" customFormat="false" ht="15" hidden="false" customHeight="false" outlineLevel="0" collapsed="false">
      <c r="A349" s="0" t="n">
        <v>344</v>
      </c>
      <c r="B349" s="5" t="n">
        <f aca="false">F348</f>
        <v>29243.6138165056</v>
      </c>
      <c r="C349" s="5" t="n">
        <f aca="false">-PMT($B$2/12,$B$3*12,$B$1)</f>
        <v>1798.65157545826</v>
      </c>
      <c r="D349" s="5" t="n">
        <f aca="false">-IPMT($B$2/12,344,$B$3*12,$B$1)</f>
        <v>146.218069082558</v>
      </c>
      <c r="E349" s="5" t="n">
        <f aca="false">-PPMT($B$2/12,344,$B$3*12,$B$1)</f>
        <v>1652.4335063757</v>
      </c>
      <c r="F349" s="5" t="n">
        <f aca="false">B349-E349</f>
        <v>27591.1803101299</v>
      </c>
    </row>
    <row r="350" customFormat="false" ht="15" hidden="false" customHeight="false" outlineLevel="0" collapsed="false">
      <c r="A350" s="0" t="n">
        <v>345</v>
      </c>
      <c r="B350" s="5" t="n">
        <f aca="false">F349</f>
        <v>27591.1803101299</v>
      </c>
      <c r="C350" s="5" t="n">
        <f aca="false">-PMT($B$2/12,$B$3*12,$B$1)</f>
        <v>1798.65157545826</v>
      </c>
      <c r="D350" s="5" t="n">
        <f aca="false">-IPMT($B$2/12,345,$B$3*12,$B$1)</f>
        <v>137.95590155068</v>
      </c>
      <c r="E350" s="5" t="n">
        <f aca="false">-PPMT($B$2/12,345,$B$3*12,$B$1)</f>
        <v>1660.69567390758</v>
      </c>
      <c r="F350" s="5" t="n">
        <f aca="false">B350-E350</f>
        <v>25930.4846362223</v>
      </c>
    </row>
    <row r="351" customFormat="false" ht="15" hidden="false" customHeight="false" outlineLevel="0" collapsed="false">
      <c r="A351" s="0" t="n">
        <v>346</v>
      </c>
      <c r="B351" s="5" t="n">
        <f aca="false">F350</f>
        <v>25930.4846362223</v>
      </c>
      <c r="C351" s="5" t="n">
        <f aca="false">-PMT($B$2/12,$B$3*12,$B$1)</f>
        <v>1798.65157545826</v>
      </c>
      <c r="D351" s="5" t="n">
        <f aca="false">-IPMT($B$2/12,346,$B$3*12,$B$1)</f>
        <v>129.652423181142</v>
      </c>
      <c r="E351" s="5" t="n">
        <f aca="false">-PPMT($B$2/12,346,$B$3*12,$B$1)</f>
        <v>1668.99915227712</v>
      </c>
      <c r="F351" s="5" t="n">
        <f aca="false">B351-E351</f>
        <v>24261.4854839452</v>
      </c>
    </row>
    <row r="352" customFormat="false" ht="15" hidden="false" customHeight="false" outlineLevel="0" collapsed="false">
      <c r="A352" s="0" t="n">
        <v>347</v>
      </c>
      <c r="B352" s="5" t="n">
        <f aca="false">F351</f>
        <v>24261.4854839452</v>
      </c>
      <c r="C352" s="5" t="n">
        <f aca="false">-PMT($B$2/12,$B$3*12,$B$1)</f>
        <v>1798.65157545826</v>
      </c>
      <c r="D352" s="5" t="n">
        <f aca="false">-IPMT($B$2/12,347,$B$3*12,$B$1)</f>
        <v>121.307427419756</v>
      </c>
      <c r="E352" s="5" t="n">
        <f aca="false">-PPMT($B$2/12,347,$B$3*12,$B$1)</f>
        <v>1677.3441480385</v>
      </c>
      <c r="F352" s="5" t="n">
        <f aca="false">B352-E352</f>
        <v>22584.1413359067</v>
      </c>
    </row>
    <row r="353" customFormat="false" ht="15" hidden="false" customHeight="false" outlineLevel="0" collapsed="false">
      <c r="A353" s="0" t="n">
        <v>348</v>
      </c>
      <c r="B353" s="5" t="n">
        <f aca="false">F352</f>
        <v>22584.1413359067</v>
      </c>
      <c r="C353" s="5" t="n">
        <f aca="false">-PMT($B$2/12,$B$3*12,$B$1)</f>
        <v>1798.65157545826</v>
      </c>
      <c r="D353" s="5" t="n">
        <f aca="false">-IPMT($B$2/12,348,$B$3*12,$B$1)</f>
        <v>112.920706679563</v>
      </c>
      <c r="E353" s="5" t="n">
        <f aca="false">-PPMT($B$2/12,348,$B$3*12,$B$1)</f>
        <v>1685.73086877869</v>
      </c>
      <c r="F353" s="5" t="n">
        <f aca="false">B353-E353</f>
        <v>20898.410467128</v>
      </c>
    </row>
    <row r="354" customFormat="false" ht="15" hidden="false" customHeight="false" outlineLevel="0" collapsed="false">
      <c r="A354" s="0" t="n">
        <v>349</v>
      </c>
      <c r="B354" s="5" t="n">
        <f aca="false">F353</f>
        <v>20898.410467128</v>
      </c>
      <c r="C354" s="5" t="n">
        <f aca="false">-PMT($B$2/12,$B$3*12,$B$1)</f>
        <v>1798.65157545826</v>
      </c>
      <c r="D354" s="5" t="n">
        <f aca="false">-IPMT($B$2/12,349,$B$3*12,$B$1)</f>
        <v>104.49205233567</v>
      </c>
      <c r="E354" s="5" t="n">
        <f aca="false">-PPMT($B$2/12,349,$B$3*12,$B$1)</f>
        <v>1694.15952312259</v>
      </c>
      <c r="F354" s="5" t="n">
        <f aca="false">B354-E354</f>
        <v>19204.2509440054</v>
      </c>
    </row>
    <row r="355" customFormat="false" ht="15" hidden="false" customHeight="false" outlineLevel="0" collapsed="false">
      <c r="A355" s="0" t="n">
        <v>350</v>
      </c>
      <c r="B355" s="5" t="n">
        <f aca="false">F354</f>
        <v>19204.2509440054</v>
      </c>
      <c r="C355" s="5" t="n">
        <f aca="false">-PMT($B$2/12,$B$3*12,$B$1)</f>
        <v>1798.65157545826</v>
      </c>
      <c r="D355" s="5" t="n">
        <f aca="false">-IPMT($B$2/12,350,$B$3*12,$B$1)</f>
        <v>96.0212547200576</v>
      </c>
      <c r="E355" s="5" t="n">
        <f aca="false">-PPMT($B$2/12,350,$B$3*12,$B$1)</f>
        <v>1702.6303207382</v>
      </c>
      <c r="F355" s="5" t="n">
        <f aca="false">B355-E355</f>
        <v>17501.6206232672</v>
      </c>
    </row>
    <row r="356" customFormat="false" ht="15" hidden="false" customHeight="false" outlineLevel="0" collapsed="false">
      <c r="A356" s="0" t="n">
        <v>351</v>
      </c>
      <c r="B356" s="5" t="n">
        <f aca="false">F355</f>
        <v>17501.6206232672</v>
      </c>
      <c r="C356" s="5" t="n">
        <f aca="false">-PMT($B$2/12,$B$3*12,$B$1)</f>
        <v>1798.65157545826</v>
      </c>
      <c r="D356" s="5" t="n">
        <f aca="false">-IPMT($B$2/12,351,$B$3*12,$B$1)</f>
        <v>87.5081031163664</v>
      </c>
      <c r="E356" s="5" t="n">
        <f aca="false">-PPMT($B$2/12,351,$B$3*12,$B$1)</f>
        <v>1711.14347234189</v>
      </c>
      <c r="F356" s="5" t="n">
        <f aca="false">B356-E356</f>
        <v>15790.4771509253</v>
      </c>
    </row>
    <row r="357" customFormat="false" ht="15" hidden="false" customHeight="false" outlineLevel="0" collapsed="false">
      <c r="A357" s="0" t="n">
        <v>352</v>
      </c>
      <c r="B357" s="5" t="n">
        <f aca="false">F356</f>
        <v>15790.4771509253</v>
      </c>
      <c r="C357" s="5" t="n">
        <f aca="false">-PMT($B$2/12,$B$3*12,$B$1)</f>
        <v>1798.65157545826</v>
      </c>
      <c r="D357" s="5" t="n">
        <f aca="false">-IPMT($B$2/12,352,$B$3*12,$B$1)</f>
        <v>78.952385754657</v>
      </c>
      <c r="E357" s="5" t="n">
        <f aca="false">-PPMT($B$2/12,352,$B$3*12,$B$1)</f>
        <v>1719.6991897036</v>
      </c>
      <c r="F357" s="5" t="n">
        <f aca="false">B357-E357</f>
        <v>14070.7779612217</v>
      </c>
    </row>
    <row r="358" customFormat="false" ht="15" hidden="false" customHeight="false" outlineLevel="0" collapsed="false">
      <c r="A358" s="0" t="n">
        <v>353</v>
      </c>
      <c r="B358" s="5" t="n">
        <f aca="false">F357</f>
        <v>14070.7779612217</v>
      </c>
      <c r="C358" s="5" t="n">
        <f aca="false">-PMT($B$2/12,$B$3*12,$B$1)</f>
        <v>1798.65157545826</v>
      </c>
      <c r="D358" s="5" t="n">
        <f aca="false">-IPMT($B$2/12,353,$B$3*12,$B$1)</f>
        <v>70.3538898061405</v>
      </c>
      <c r="E358" s="5" t="n">
        <f aca="false">-PPMT($B$2/12,353,$B$3*12,$B$1)</f>
        <v>1728.29768565212</v>
      </c>
      <c r="F358" s="5" t="n">
        <f aca="false">B358-E358</f>
        <v>12342.4802755696</v>
      </c>
    </row>
    <row r="359" customFormat="false" ht="15" hidden="false" customHeight="false" outlineLevel="0" collapsed="false">
      <c r="A359" s="0" t="n">
        <v>354</v>
      </c>
      <c r="B359" s="5" t="n">
        <f aca="false">F358</f>
        <v>12342.4802755696</v>
      </c>
      <c r="C359" s="5" t="n">
        <f aca="false">-PMT($B$2/12,$B$3*12,$B$1)</f>
        <v>1798.65157545826</v>
      </c>
      <c r="D359" s="5" t="n">
        <f aca="false">-IPMT($B$2/12,354,$B$3*12,$B$1)</f>
        <v>61.7124013778785</v>
      </c>
      <c r="E359" s="5" t="n">
        <f aca="false">-PPMT($B$2/12,354,$B$3*12,$B$1)</f>
        <v>1736.93917408038</v>
      </c>
      <c r="F359" s="5" t="n">
        <f aca="false">B359-E359</f>
        <v>10605.5411014892</v>
      </c>
    </row>
    <row r="360" customFormat="false" ht="15" hidden="false" customHeight="false" outlineLevel="0" collapsed="false">
      <c r="A360" s="0" t="n">
        <v>355</v>
      </c>
      <c r="B360" s="5" t="n">
        <f aca="false">F359</f>
        <v>10605.5411014892</v>
      </c>
      <c r="C360" s="5" t="n">
        <f aca="false">-PMT($B$2/12,$B$3*12,$B$1)</f>
        <v>1798.65157545826</v>
      </c>
      <c r="D360" s="5" t="n">
        <f aca="false">-IPMT($B$2/12,355,$B$3*12,$B$1)</f>
        <v>53.0277055074777</v>
      </c>
      <c r="E360" s="5" t="n">
        <f aca="false">-PPMT($B$2/12,355,$B$3*12,$B$1)</f>
        <v>1745.62386995078</v>
      </c>
      <c r="F360" s="5" t="n">
        <f aca="false">B360-E360</f>
        <v>8859.91723153846</v>
      </c>
    </row>
    <row r="361" customFormat="false" ht="15" hidden="false" customHeight="false" outlineLevel="0" collapsed="false">
      <c r="A361" s="0" t="n">
        <v>356</v>
      </c>
      <c r="B361" s="5" t="n">
        <f aca="false">F360</f>
        <v>8859.91723153846</v>
      </c>
      <c r="C361" s="5" t="n">
        <f aca="false">-PMT($B$2/12,$B$3*12,$B$1)</f>
        <v>1798.65157545826</v>
      </c>
      <c r="D361" s="5" t="n">
        <f aca="false">-IPMT($B$2/12,356,$B$3*12,$B$1)</f>
        <v>44.2995861577244</v>
      </c>
      <c r="E361" s="5" t="n">
        <f aca="false">-PPMT($B$2/12,356,$B$3*12,$B$1)</f>
        <v>1754.35198930053</v>
      </c>
      <c r="F361" s="5" t="n">
        <f aca="false">B361-E361</f>
        <v>7105.56524223793</v>
      </c>
    </row>
    <row r="362" customFormat="false" ht="15" hidden="false" customHeight="false" outlineLevel="0" collapsed="false">
      <c r="A362" s="0" t="n">
        <v>357</v>
      </c>
      <c r="B362" s="5" t="n">
        <f aca="false">F361</f>
        <v>7105.56524223793</v>
      </c>
      <c r="C362" s="5" t="n">
        <f aca="false">-PMT($B$2/12,$B$3*12,$B$1)</f>
        <v>1798.65157545826</v>
      </c>
      <c r="D362" s="5" t="n">
        <f aca="false">-IPMT($B$2/12,357,$B$3*12,$B$1)</f>
        <v>35.5278262112221</v>
      </c>
      <c r="E362" s="5" t="n">
        <f aca="false">-PPMT($B$2/12,357,$B$3*12,$B$1)</f>
        <v>1763.12374924704</v>
      </c>
      <c r="F362" s="5" t="n">
        <f aca="false">B362-E362</f>
        <v>5342.44149299089</v>
      </c>
    </row>
    <row r="363" customFormat="false" ht="15" hidden="false" customHeight="false" outlineLevel="0" collapsed="false">
      <c r="A363" s="0" t="n">
        <v>358</v>
      </c>
      <c r="B363" s="5" t="n">
        <f aca="false">F362</f>
        <v>5342.44149299089</v>
      </c>
      <c r="C363" s="5" t="n">
        <f aca="false">-PMT($B$2/12,$B$3*12,$B$1)</f>
        <v>1798.65157545826</v>
      </c>
      <c r="D363" s="5" t="n">
        <f aca="false">-IPMT($B$2/12,358,$B$3*12,$B$1)</f>
        <v>26.712207464986</v>
      </c>
      <c r="E363" s="5" t="n">
        <f aca="false">-PPMT($B$2/12,358,$B$3*12,$B$1)</f>
        <v>1771.93936799327</v>
      </c>
      <c r="F363" s="5" t="n">
        <f aca="false">B363-E363</f>
        <v>3570.50212499762</v>
      </c>
    </row>
    <row r="364" customFormat="false" ht="15" hidden="false" customHeight="false" outlineLevel="0" collapsed="false">
      <c r="A364" s="0" t="n">
        <v>359</v>
      </c>
      <c r="B364" s="5" t="n">
        <f aca="false">F363</f>
        <v>3570.50212499762</v>
      </c>
      <c r="C364" s="5" t="n">
        <f aca="false">-PMT($B$2/12,$B$3*12,$B$1)</f>
        <v>1798.65157545826</v>
      </c>
      <c r="D364" s="5" t="n">
        <f aca="false">-IPMT($B$2/12,359,$B$3*12,$B$1)</f>
        <v>17.8525106250206</v>
      </c>
      <c r="E364" s="5" t="n">
        <f aca="false">-PPMT($B$2/12,359,$B$3*12,$B$1)</f>
        <v>1780.79906483324</v>
      </c>
      <c r="F364" s="5" t="n">
        <f aca="false">B364-E364</f>
        <v>1789.70306016438</v>
      </c>
    </row>
    <row r="365" customFormat="false" ht="15" hidden="false" customHeight="false" outlineLevel="0" collapsed="false">
      <c r="A365" s="0" t="n">
        <v>360</v>
      </c>
      <c r="B365" s="5" t="n">
        <f aca="false">F364</f>
        <v>1789.70306016438</v>
      </c>
      <c r="C365" s="5" t="n">
        <f aca="false">-PMT($B$2/12,$B$3*12,$B$1)</f>
        <v>1798.65157545826</v>
      </c>
      <c r="D365" s="5" t="n">
        <f aca="false">-IPMT($B$2/12,360,$B$3*12,$B$1)</f>
        <v>8.94851530085477</v>
      </c>
      <c r="E365" s="5" t="n">
        <f aca="false">-PPMT($B$2/12,360,$B$3*12,$B$1)</f>
        <v>1789.7030601574</v>
      </c>
      <c r="F365" s="5" t="n">
        <f aca="false">B365-E365</f>
        <v>6.98082658345811E-009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2026-10-13T01:43:01Z</dcterms:created>
  <dc:creator>openpyxl</dc:creator>
  <dc:description/>
  <dc:language>en-US</dc:language>
  <cp:lastModifiedBy/>
  <dcterms:modified xsi:type="dcterms:W3CDTF">2026-10-12T20:43:13Z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